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ФХД'!$H$84:$K$84</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Детализация'!$A$139:$A$139</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ИП!$I$11:$I$17</definedName>
    <definedName name="IP_MAIN_CHANGE_DATE">ИП!$J$11:$J$17</definedName>
    <definedName name="IP_MAIN_CLAIM">ИП!$K$11:$K$17</definedName>
    <definedName name="IP_MAIN_DATE_PARKING">ИП!$L$5</definedName>
    <definedName name="IP_MAIN_DELETE_HL_COLUMN_MARKER">ИП!$E$7</definedName>
    <definedName name="IP_MAIN_DIFFERENTIATION_EVENTS_FLAG">ИП!$H$11:$H$17</definedName>
    <definedName name="IP_MAIN_END_DATE">ИП!$O$11:$O$17</definedName>
    <definedName name="IP_MAIN_FLAG_KS">ИП!$Y$11:$Y$17</definedName>
    <definedName name="IP_MAIN_FLAG_KS_COLUMN_MARKER">ИП!$Y$7</definedName>
    <definedName name="IP_MAIN_IP_FIN_PLAN_VISIBLE_FLAG">ИП!$H$19</definedName>
    <definedName name="IP_MAIN_LIST_IP_ID">ИП!$AD$11:$AD$17</definedName>
    <definedName name="IP_MAIN_LIST_NAME_IP">ИП!$G$11:$G$17</definedName>
    <definedName name="IP_MAIN_PERIOD_REALIZ_DATE">ИП!$P$11:$P$17</definedName>
    <definedName name="IP_MAIN_PR_IP_CHANGE_DATE">ИП!$X$11:$X$17</definedName>
    <definedName name="IP_MAIN_PR_IP_DATE">ИП!$T$11:$T$17</definedName>
    <definedName name="IP_MAIN_PR_IP_NAME">ИП!$Q$11:$Q$17</definedName>
    <definedName name="IP_MAIN_PR_IP_NUMBER">ИП!$S$11:$S$17</definedName>
    <definedName name="IP_MAIN_PR_IP_TYPE">ИП!$R$11:$R$17</definedName>
    <definedName name="IP_MAIN_START_DATE">ИП!$N$11:$N$17</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ИП!$E$11:$E$17</definedName>
    <definedName name="pDel_IP_MAIN_PROPERTY">ИП!$Z$11:$Z$17</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Детализация'!$F$139</definedName>
    <definedName name="pIns_IP_FIN_PLAN">'ИП. Финансовый план'!$AG$8</definedName>
    <definedName name="pIns_IP_MAIN">ИП!$G$17</definedName>
    <definedName name="pIns_IP_QRE">'ИП. КНЭ'!$F$27</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ФХД'!$K$134</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Детализация'!$AH$139</definedName>
    <definedName name="tblEnd_1_IP_FIN_PLAN">'ИП. Финансовый план'!$AG$58</definedName>
    <definedName name="tblEnd_1_IP_MAIN">ИП!$AB$18</definedName>
    <definedName name="tblEnd_1_IP_QRE">'ИП. КНЭ'!$FX$27</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et_B_FHD20_1">et_union_hor!$115:$123</definedName>
    <definedName name="IP_MAIN_ip_5">ИП!$13:$14</definedName>
    <definedName name="IP_QRE_ip_5">'ИП. КНЭ'!$21:$23</definedName>
    <definedName name="IP_DETAILED_ip_5">'ИП. Детализация'!$14:$48</definedName>
    <definedName name="IP_FIN_PLAN_ip_5">'ИП. Финансовый план'!$K$11:$P$11</definedName>
    <definedName name="IP_MAIN_ip_51">ИП!$15:$16</definedName>
    <definedName name="IP_QRE_ip_51">'ИП. КНЭ'!$24:$26</definedName>
    <definedName name="IP_DETAILED_ip_51">'ИП. Детализация'!$49:$138</definedName>
    <definedName name="IP_FIN_PLAN_ip_51">'ИП. Финансовый план'!$Q$11:$AF$11</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TEMP_LIST_KS">ИП!$AB$15</definedName>
    <definedName name="VD_LIST">REESTR_VED!$A$2:$B$8</definedName>
    <definedName name="VD_ID_LIST">REESTR_VED!$A$2:$A$8</definedName>
    <definedName name="VD_NAME_LIST">REESTR_VED!$B$2:$B$8</definedName>
    <definedName name="REESTR_IP_RANGE">REESTR_IP!$A$2:$I$7</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<sst xmlns="http://schemas.openxmlformats.org/spreadsheetml/2006/main" count="11317" uniqueCount="2975">
  <si>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</si>
  <si>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</si>
  <si>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</si>
  <si>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</si>
  <si>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</si>
  <si>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</si>
  <si>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</si>
  <si>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</si>
  <si>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</si>
  <si>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</si>
  <si>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</si>
  <si>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</si>
  <si>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</si>
  <si>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</si>
  <si>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</si>
  <si>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</si>
  <si>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</si>
  <si>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</si>
  <si>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</si>
  <si>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</si>
  <si>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</si>
  <si>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</si>
  <si>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</si>
  <si>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</si>
  <si>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</si>
  <si>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</si>
  <si>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</si>
  <si>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</si>
  <si>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</si>
  <si>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</si>
  <si>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</si>
  <si>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</si>
  <si>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</si>
  <si>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</si>
  <si>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</si>
  <si>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</si>
  <si>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</si>
  <si>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</si>
  <si>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</si>
  <si>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</si>
  <si>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</si>
  <si>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</si>
  <si>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</si>
  <si>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</si>
  <si>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</si>
  <si>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</si>
  <si>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</si>
  <si>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</si>
  <si>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</si>
  <si>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</si>
  <si>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</si>
  <si>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</si>
  <si>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</si>
  <si>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</si>
  <si>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</si>
  <si>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</si>
  <si>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</si>
  <si>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</si>
  <si>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</si>
  <si>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</si>
  <si>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</si>
  <si>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</si>
  <si>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</si>
  <si>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</si>
  <si>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</si>
  <si>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</si>
  <si>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</si>
  <si>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</si>
  <si>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</si>
  <si>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</si>
  <si>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649007, 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</si>
  <si>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</si>
  <si>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</si>
  <si>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</si>
  <si>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</si>
  <si>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</si>
  <si>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</si>
  <si>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</si>
  <si>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</si>
  <si>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</si>
  <si>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</si>
  <si>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</si>
  <si>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</si>
  <si>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</si>
  <si>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</si>
  <si>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</si>
  <si>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</si>
  <si>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</si>
  <si>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</si>
  <si>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</si>
  <si>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</si>
  <si>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</si>
  <si>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</si>
  <si>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</si>
  <si>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</si>
  <si>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</si>
  <si>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</si>
  <si>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</si>
  <si>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</si>
  <si>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</si>
  <si>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</si>
  <si>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</si>
  <si>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</si>
  <si>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</si>
  <si>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</si>
  <si>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</si>
  <si>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</si>
  <si>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</si>
  <si>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</si>
  <si>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</si>
  <si>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</si>
  <si>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</si>
  <si>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</si>
  <si>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</si>
  <si>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</si>
  <si>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</si>
  <si>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</si>
  <si>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</si>
  <si>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</si>
  <si>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</si>
  <si>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</si>
  <si>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</si>
  <si>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</si>
  <si>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</si>
  <si>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</si>
  <si>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</si>
  <si>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</si>
  <si>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</si>
  <si>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</si>
  <si>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</si>
  <si>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</si>
  <si>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</si>
  <si>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</si>
  <si>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</si>
  <si>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</si>
  <si>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</si>
  <si>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</si>
  <si>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</si>
  <si>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</si>
  <si>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</si>
  <si>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</si>
  <si>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</si>
  <si>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</si>
  <si>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</si>
  <si>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</si>
  <si>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</si>
  <si>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</si>
  <si>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</si>
  <si>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</si>
  <si>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</si>
  <si>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</si>
  <si>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</si>
  <si>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</si>
  <si>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</si>
  <si>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</si>
  <si>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</si>
  <si>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</si>
  <si>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</si>
  <si>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</si>
  <si>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</si>
  <si>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</si>
  <si>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</si>
  <si>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</si>
  <si>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</si>
  <si>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</si>
  <si>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</si>
  <si>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</si>
  <si>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</si>
  <si>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</si>
  <si>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</si>
  <si>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</si>
  <si>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</si>
  <si>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</si>
  <si>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</si>
  <si>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</si>
  <si>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</si>
  <si>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</si>
  <si>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</si>
  <si>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</si>
  <si>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</si>
  <si>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</si>
  <si>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</si>
  <si>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</si>
  <si>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</si>
  <si>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</si>
  <si>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</si>
  <si>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</si>
  <si>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</si>
  <si>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</si>
  <si>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</si>
  <si>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</si>
  <si>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</si>
  <si>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</si>
  <si>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</si>
  <si>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</si>
  <si>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</si>
  <si>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</si>
  <si>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</si>
  <si>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</si>
  <si>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</si>
  <si>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</si>
  <si>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</si>
  <si>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</si>
  <si>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</si>
  <si>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</si>
  <si>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</si>
  <si>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</si>
  <si>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</si>
  <si>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</si>
  <si>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</si>
  <si>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</si>
  <si>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</si>
  <si>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</si>
  <si>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</si>
  <si>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</si>
  <si>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</si>
  <si>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</si>
  <si>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</si>
  <si>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</si>
  <si>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</si>
  <si>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</si>
  <si>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</si>
  <si>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</si>
  <si>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</si>
  <si>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</si>
  <si>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</si>
  <si>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</si>
  <si>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</si>
  <si>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</si>
  <si>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</si>
  <si>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</si>
  <si>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</si>
  <si>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</si>
  <si>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</si>
  <si>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</si>
  <si>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</si>
  <si>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</si>
  <si>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</si>
  <si>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</si>
  <si>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</si>
  <si>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</si>
  <si>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</si>
  <si>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</si>
  <si>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</si>
  <si>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</si>
  <si>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</si>
  <si>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</si>
  <si>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</si>
  <si>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</si>
  <si>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</si>
  <si>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</si>
  <si>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</si>
  <si>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</si>
  <si>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</si>
  <si>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</si>
  <si>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</si>
  <si>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</si>
  <si>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</si>
  <si>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</si>
  <si>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</si>
  <si>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</si>
  <si>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</si>
  <si>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</si>
  <si>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</si>
  <si>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</si>
  <si>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</si>
  <si>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</si>
  <si>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</si>
  <si>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</si>
  <si>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</si>
  <si>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</si>
  <si>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</si>
  <si>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</si>
  <si>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</si>
  <si>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</si>
  <si>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</si>
  <si>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</si>
  <si>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</si>
  <si>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</si>
  <si>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</si>
  <si>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</si>
  <si>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</si>
  <si>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</si>
  <si>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</si>
  <si>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</si>
  <si>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</si>
  <si>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</si>
  <si>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</si>
  <si>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</si>
  <si>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</si>
  <si>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</si>
  <si>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</si>
  <si>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</si>
  <si>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</si>
  <si>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</si>
  <si>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</si>
  <si>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</si>
  <si>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</si>
  <si>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</si>
  <si>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</si>
  <si>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</si>
  <si>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</si>
  <si>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</si>
  <si>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</si>
  <si>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</si>
  <si>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</si>
  <si>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</si>
  <si>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</si>
  <si>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</si>
  <si>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</si>
  <si>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</si>
  <si>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</si>
  <si>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</si>
  <si>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</si>
  <si>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</si>
  <si>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</si>
  <si>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</si>
  <si>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</si>
  <si>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</si>
  <si>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</si>
  <si>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</si>
  <si>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</si>
  <si>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</si>
  <si>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</si>
  <si>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</si>
  <si>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</si>
  <si>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</si>
  <si>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</si>
  <si>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</si>
  <si>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</si>
  <si>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</si>
  <si>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</si>
  <si>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</si>
  <si>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</si>
  <si>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</si>
  <si>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</si>
  <si>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</si>
  <si>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</si>
  <si>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</si>
  <si>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</si>
  <si>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</si>
  <si>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</si>
  <si>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</si>
  <si>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</si>
  <si>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</si>
  <si>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</si>
  <si>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</si>
  <si>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</si>
  <si>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</si>
  <si>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</si>
  <si>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</si>
  <si>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</si>
  <si>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</si>
  <si>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</si>
  <si>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</si>
  <si>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</si>
  <si>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</si>
  <si>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</si>
  <si>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</si>
  <si>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</si>
  <si>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</si>
  <si>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</si>
  <si>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</si>
  <si>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</si>
  <si>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</si>
  <si>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</si>
  <si>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</si>
  <si>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</si>
  <si>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</si>
  <si>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</si>
  <si>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</si>
  <si>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</si>
  <si>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</si>
  <si>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</si>
  <si>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</si>
  <si>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</si>
  <si>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</si>
  <si>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</si>
  <si>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</si>
  <si>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</si>
  <si>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</si>
  <si>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</si>
  <si>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</si>
  <si>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</si>
  <si>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</si>
  <si>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</si>
  <si>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</si>
  <si>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</si>
  <si>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</si>
  <si>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</si>
  <si>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</si>
  <si>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</si>
  <si>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</si>
  <si>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</si>
  <si>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</si>
  <si>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</si>
  <si>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</si>
  <si>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</si>
  <si>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</si>
  <si>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</si>
  <si>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</si>
  <si>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</si>
  <si>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</si>
  <si>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</si>
  <si>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</si>
  <si>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</si>
  <si>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</si>
  <si>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</si>
  <si>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</si>
  <si>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</si>
  <si>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</si>
  <si>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</si>
  <si>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</si>
  <si>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</si>
  <si>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</si>
  <si>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</si>
  <si>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</si>
  <si>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</si>
  <si>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</si>
  <si>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</si>
  <si>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</si>
  <si>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</si>
  <si>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</si>
  <si>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</si>
  <si>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</si>
  <si>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</si>
  <si>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</si>
  <si>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</si>
  <si>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</si>
  <si>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</si>
  <si>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</si>
  <si>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</si>
  <si>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</si>
  <si>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</si>
  <si>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</si>
  <si>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</si>
  <si>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</si>
  <si>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</si>
  <si>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</si>
  <si>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</si>
  <si>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</si>
  <si>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</si>
  <si>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</si>
  <si>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</si>
  <si>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</si>
  <si>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</si>
  <si>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</si>
  <si>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</si>
  <si>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</si>
  <si>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</si>
  <si>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</si>
  <si>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</si>
  <si>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</si>
  <si>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</si>
  <si>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</si>
  <si>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</si>
  <si>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</si>
  <si>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</si>
  <si>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</si>
  <si>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</si>
  <si>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</si>
  <si>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</si>
  <si>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</si>
  <si>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</si>
  <si>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</si>
  <si>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</si>
  <si>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</si>
  <si>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</si>
  <si>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</si>
  <si>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</si>
  <si>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</si>
  <si>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</si>
  <si>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</si>
  <si>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</si>
  <si>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</si>
  <si>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</si>
  <si>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</si>
  <si>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</si>
  <si>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</si>
  <si>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</si>
  <si>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</si>
  <si>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</si>
  <si>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</si>
  <si>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</si>
  <si>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</si>
  <si>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</si>
  <si>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</si>
  <si>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</si>
  <si>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</si>
  <si>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</si>
  <si>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</si>
  <si>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</si>
  <si>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</si>
  <si>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</si>
  <si>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</si>
  <si>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</si>
  <si>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</si>
  <si>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</si>
  <si>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</si>
  <si>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</si>
  <si>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</si>
  <si>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</si>
  <si>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</si>
  <si>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</si>
  <si>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</si>
  <si>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</si>
  <si>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</si>
  <si>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</si>
  <si>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</si>
  <si>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</si>
  <si>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</si>
  <si>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</si>
  <si>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</si>
  <si>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</si>
  <si>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</si>
  <si>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</si>
  <si>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</si>
  <si>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</si>
  <si>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</si>
  <si>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</si>
  <si>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</si>
  <si>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</si>
  <si>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</si>
  <si>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</si>
  <si>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</si>
  <si>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</si>
  <si>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</si>
  <si>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</si>
  <si>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</si>
  <si>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</si>
  <si>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</si>
  <si>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</si>
  <si>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</si>
  <si>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</si>
  <si>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</si>
  <si>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</si>
  <si>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</si>
  <si>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</si>
  <si>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</si>
  <si>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</si>
  <si>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</si>
  <si>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</si>
  <si>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</si>
  <si>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</si>
  <si>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</si>
  <si>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</si>
  <si>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</si>
  <si>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</si>
  <si>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</si>
  <si>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</si>
  <si>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</si>
  <si>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</si>
  <si>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</si>
  <si>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</si>
  <si>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</si>
  <si>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</si>
  <si>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</si>
  <si>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</si>
  <si>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</si>
  <si>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</si>
  <si>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</si>
  <si>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</si>
  <si>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</si>
  <si>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</si>
  <si>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</si>
  <si>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</si>
  <si>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</si>
  <si>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</si>
  <si>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</si>
  <si>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</si>
  <si>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</si>
  <si>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</si>
  <si>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</si>
  <si>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</si>
  <si>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</si>
  <si>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</si>
  <si>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Государственная охрана объектов</t>
  </si>
  <si>
    <t xml:space="preserve">Контроль качества питьевой воды </t>
  </si>
  <si>
    <t xml:space="preserve">Налоги, обязательные платежи </t>
  </si>
  <si>
    <t>Добавить прочие расходы</t>
  </si>
  <si>
    <t>HEAT_P2</t>
  </si>
  <si>
    <t>NOT_HEAT_P2</t>
  </si>
  <si>
    <t>hyp</t>
  </si>
  <si>
    <t>https://portal.eias.ru/Portal/DownloadPage.aspx?type=12&amp;guid=80174656-a8d8-4063-9556-84f3e3d6d758</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</si>
  <si>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</si>
  <si>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</si>
  <si>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</si>
  <si>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</si>
  <si>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</si>
  <si>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</si>
  <si>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</si>
  <si>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</si>
  <si>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</si>
  <si>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</si>
  <si>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</si>
  <si>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</si>
  <si>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</si>
  <si>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</si>
  <si>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</si>
  <si>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</si>
  <si>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</si>
  <si>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</si>
  <si>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</si>
  <si>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</si>
  <si>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</si>
  <si>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</si>
  <si>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</si>
  <si>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</si>
  <si>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</si>
  <si>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</si>
  <si>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</si>
  <si>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</si>
  <si>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</si>
  <si>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</si>
  <si>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</si>
  <si>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</si>
  <si>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</si>
  <si>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</si>
  <si>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</si>
  <si>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</si>
  <si>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</si>
  <si>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</si>
  <si>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</si>
  <si>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</si>
  <si>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</si>
  <si>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</si>
  <si>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</si>
  <si>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</si>
  <si>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</si>
  <si>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</si>
  <si>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</si>
  <si>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</si>
  <si>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</si>
  <si>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</si>
  <si>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</si>
  <si>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</si>
  <si>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</si>
  <si>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</si>
  <si>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</si>
  <si>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</si>
  <si>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</si>
  <si>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</si>
  <si>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</si>
  <si>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</si>
  <si>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</si>
  <si>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</si>
  <si>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</si>
  <si>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</si>
  <si>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</si>
  <si>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</si>
  <si>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</si>
  <si>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</si>
  <si>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</si>
  <si>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</si>
  <si>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</si>
  <si>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</si>
  <si>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</si>
  <si>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</si>
  <si>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</si>
  <si>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</si>
  <si>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</si>
  <si>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</si>
  <si>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</si>
  <si>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</si>
  <si>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</si>
  <si>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</si>
  <si>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</si>
  <si>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</si>
  <si>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</si>
  <si>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</si>
  <si>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</si>
  <si>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</si>
  <si>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</si>
  <si>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</si>
  <si>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</si>
  <si>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</si>
  <si>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</si>
  <si>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</si>
  <si>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</si>
  <si>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</si>
  <si>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</si>
  <si>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</si>
  <si>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</si>
  <si>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</si>
  <si>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</si>
  <si>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</si>
  <si>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</si>
  <si>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</si>
  <si>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</si>
  <si>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</si>
  <si>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</si>
  <si>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</si>
  <si>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</si>
  <si>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</si>
  <si>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</si>
  <si>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</si>
  <si>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</si>
  <si>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</si>
  <si>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</si>
  <si>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</si>
  <si>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</si>
  <si>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</si>
  <si>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</si>
  <si>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</si>
  <si>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</si>
  <si>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</si>
  <si>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</si>
  <si>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</si>
  <si>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</si>
  <si>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</si>
  <si>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</si>
  <si>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</si>
  <si>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</si>
  <si>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</si>
  <si>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</si>
  <si>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</si>
  <si>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</si>
  <si>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</si>
  <si>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</si>
  <si>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</si>
  <si>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</si>
  <si>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</si>
  <si>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</si>
  <si>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</si>
  <si>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</si>
  <si>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</si>
  <si>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</si>
  <si>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</si>
  <si>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</si>
  <si>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</si>
  <si>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</si>
  <si>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</si>
  <si>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</si>
  <si>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</si>
  <si>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</si>
  <si>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</si>
  <si>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</si>
  <si>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</si>
  <si>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</si>
  <si>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</si>
  <si>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</si>
  <si>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</si>
  <si>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</si>
  <si>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</si>
  <si>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</si>
  <si>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</si>
  <si>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</si>
  <si>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</si>
  <si>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</si>
  <si>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</si>
  <si>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</si>
  <si>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</si>
  <si>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</si>
  <si>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</si>
  <si>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</si>
  <si>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</si>
  <si>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</si>
  <si>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</si>
  <si>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</si>
  <si>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</si>
  <si>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</si>
  <si>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</si>
  <si>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</si>
  <si>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</si>
  <si>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</si>
  <si>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</si>
  <si>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</si>
  <si>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</si>
  <si>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</si>
  <si>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</si>
  <si>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</si>
  <si>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</si>
  <si>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</si>
  <si>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</si>
  <si>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</si>
  <si>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</si>
  <si>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</si>
  <si>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</si>
  <si>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</si>
  <si>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</si>
  <si>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</si>
  <si>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</si>
  <si>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</si>
  <si>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</si>
  <si>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</si>
  <si>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</si>
  <si>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</si>
  <si>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</si>
  <si>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</si>
  <si>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</si>
  <si>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</si>
  <si>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</si>
  <si>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</si>
  <si>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</si>
  <si>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</si>
  <si>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</si>
  <si>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</si>
  <si>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</si>
  <si>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</si>
  <si>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</si>
  <si>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</si>
  <si>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</si>
  <si>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</si>
  <si>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</si>
  <si>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</si>
  <si>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</si>
  <si>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</si>
  <si>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</si>
  <si>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</si>
  <si>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</si>
  <si>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</si>
  <si>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</si>
  <si>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</si>
  <si>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</si>
  <si>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</si>
  <si>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</si>
  <si>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</si>
  <si>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</si>
  <si>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</si>
  <si>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</si>
  <si>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</si>
  <si>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</si>
  <si>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</si>
  <si>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</si>
  <si>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</si>
  <si>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</si>
  <si>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</si>
  <si>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</si>
  <si>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</si>
  <si>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</si>
  <si>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</si>
  <si>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</si>
  <si>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</si>
  <si>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</si>
  <si>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</si>
  <si>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</si>
  <si>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</si>
  <si>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</si>
  <si>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</si>
  <si>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</si>
  <si>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</si>
  <si>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</si>
  <si>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</si>
  <si>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</si>
  <si>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</si>
  <si>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</si>
  <si>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</si>
  <si>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</si>
  <si>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</si>
  <si>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</si>
  <si>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</si>
  <si>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</si>
  <si>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</si>
  <si>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</si>
  <si>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</si>
  <si>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</si>
  <si>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</si>
  <si>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</si>
  <si>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</si>
  <si>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</si>
  <si>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</si>
  <si>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</si>
  <si>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</si>
  <si>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</si>
  <si>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</si>
  <si>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</si>
  <si>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</si>
  <si>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</si>
  <si>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</si>
  <si>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</si>
  <si>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</si>
  <si>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</si>
  <si>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</si>
  <si>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</si>
  <si>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</si>
  <si>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</si>
  <si>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</si>
  <si>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</si>
  <si>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</si>
  <si>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</si>
  <si>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</si>
  <si>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</si>
  <si>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</si>
  <si>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</si>
  <si>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</si>
  <si>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</si>
  <si>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</si>
  <si>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</si>
  <si>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</si>
  <si>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</si>
  <si>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</si>
  <si>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</si>
  <si>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</si>
  <si>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</si>
  <si>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</si>
  <si>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</si>
  <si>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</si>
  <si>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</si>
  <si>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</si>
  <si>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</si>
  <si>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</si>
  <si>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</si>
  <si>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</si>
  <si>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</si>
  <si>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</si>
  <si>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</si>
  <si>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</si>
  <si>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</si>
  <si>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</si>
  <si>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</si>
  <si>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</si>
  <si>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</si>
  <si>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</si>
  <si>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https://portal.eias.ru/Portal/DownloadPage.aspx?type=12&amp;guid=baababc4-c6f3-4506-b37b-02c3accfb0db</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</si>
  <si>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</si>
  <si>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</si>
  <si>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</si>
  <si>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</si>
  <si>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</si>
  <si>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</si>
  <si>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</si>
  <si>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</si>
  <si>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</si>
  <si>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</si>
  <si>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</si>
  <si>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</si>
  <si>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</si>
  <si>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</si>
  <si>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</si>
  <si>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</si>
  <si>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</si>
  <si>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</si>
  <si>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</si>
  <si>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</si>
  <si>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</si>
  <si>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</si>
  <si>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</si>
  <si>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</si>
  <si>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</si>
  <si>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</si>
  <si>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</si>
  <si>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</si>
  <si>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</si>
  <si>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</si>
  <si>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</si>
  <si>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</si>
  <si>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</si>
  <si>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</si>
  <si>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</si>
  <si>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</si>
  <si>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</si>
  <si>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</si>
  <si>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</si>
  <si>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</si>
  <si>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</si>
  <si>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</si>
  <si>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</si>
  <si>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</si>
  <si>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</si>
  <si>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</si>
  <si>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</si>
  <si>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</si>
  <si>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</si>
  <si>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</si>
  <si>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</si>
  <si>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</si>
  <si>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</si>
  <si>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</si>
  <si>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</si>
  <si>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</si>
  <si>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</si>
  <si>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</si>
  <si>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</si>
  <si>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</si>
  <si>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</si>
  <si>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</si>
  <si>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</si>
  <si>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</si>
  <si>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</si>
  <si>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</si>
  <si>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</si>
  <si>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</si>
  <si>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</si>
  <si>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</si>
  <si>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</si>
  <si>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</si>
  <si>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</si>
  <si>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</si>
  <si>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</si>
  <si>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</si>
  <si>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</si>
  <si>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</si>
  <si>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</si>
  <si>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</si>
  <si>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</si>
  <si>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</si>
  <si>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</si>
  <si>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</si>
  <si>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</si>
  <si>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</si>
  <si>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</si>
  <si>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</si>
  <si>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</si>
  <si>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</si>
  <si>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</si>
  <si>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</si>
  <si>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</si>
  <si>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прочее</t>
  </si>
  <si>
    <t>Комитет по тарифам РА</t>
  </si>
  <si>
    <t>Исполнительно-распорядительный орган местного самоуправления - администрация города Горно-Алтайска</t>
  </si>
  <si>
    <t>01.01.2024</t>
  </si>
  <si>
    <t>31.12.2027</t>
  </si>
  <si>
    <t>"Об утверждении инвестиционной программы АО "Водоканал" по развитию централизованных систем водоснабжения и водоотведения города Горно-Алтайска на 2024-2027 годы"</t>
  </si>
  <si>
    <t>приказ</t>
  </si>
  <si>
    <t>48-ВД</t>
  </si>
  <si>
    <t>30.10.2023</t>
  </si>
  <si>
    <t xml:space="preserve">"О внесении изменений в инвестиционную программу АО "Водоканал" по развитию централизованных систем водоснабжения и водоотведения  г. Горно-Алтайска на 2024-2027 годы" </t>
  </si>
  <si>
    <t>Приказ</t>
  </si>
  <si>
    <t>П-07-01/506</t>
  </si>
  <si>
    <t>ip_5</t>
  </si>
  <si>
    <t>Добавить реквизиты</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</si>
  <si>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</si>
  <si>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</si>
  <si>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</si>
  <si>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Об утверждении инвестиционной программы АО «Водоканал» в сфере холодного водоснабжения по объектам концессионного соглашения 
на 2024-2037 годы</t>
  </si>
  <si>
    <t>П-15-01/0042</t>
  </si>
  <si>
    <t>Концессионное соглашение 1/2023 от 13 декабря 2023 года</t>
  </si>
  <si>
    <t>ip_51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</si>
  <si>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</si>
  <si>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</si>
  <si>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</si>
  <si>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</si>
  <si>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</si>
  <si>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</si>
  <si>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</si>
  <si>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</si>
  <si>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</si>
  <si>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</si>
  <si>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</si>
  <si>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</si>
  <si>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</si>
  <si>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</si>
  <si>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</si>
  <si>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</si>
  <si>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</si>
  <si>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</si>
  <si>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</si>
  <si>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</si>
  <si>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</si>
  <si>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</si>
  <si>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</si>
  <si>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</si>
  <si>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</si>
  <si>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</si>
  <si>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</si>
  <si>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</si>
  <si>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</si>
  <si>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</si>
  <si>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Добавить мероприятие</t>
  </si>
  <si>
    <t>Разработка проектной документации и строительство водопровода ул. Тартыкова- ул. Камзаракова с целью выноса водопровода из приусадебных участков</t>
  </si>
  <si>
    <t>Декабрь</t>
  </si>
  <si>
    <t>2025</t>
  </si>
  <si>
    <t>Ноябрь</t>
  </si>
  <si>
    <t xml:space="preserve">     Амортизационные отчисления за исключением переоценки основных средств и нематериальных активов</t>
  </si>
  <si>
    <t>Добавить источник финансирования</t>
  </si>
  <si>
    <t>Добавить объект инфраструктуры</t>
  </si>
  <si>
    <t>Приобретение спецавтотранспорта, вакуумной машины илосос для цеха водоснабжения</t>
  </si>
  <si>
    <t>2027</t>
  </si>
  <si>
    <t xml:space="preserve">  Прибыль направляемая на инвестиции</t>
  </si>
  <si>
    <t>Переустройство водопроводной сети ул. Трудовая, ул. Матросова</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</si>
  <si>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</si>
  <si>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</si>
  <si>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</si>
  <si>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</si>
  <si>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</si>
  <si>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</si>
  <si>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</si>
  <si>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</si>
  <si>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</si>
  <si>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</si>
  <si>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</si>
  <si>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</si>
  <si>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</si>
  <si>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</si>
  <si>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</si>
  <si>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</si>
  <si>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</si>
  <si>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</si>
  <si>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</si>
  <si>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</si>
  <si>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</si>
  <si>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</si>
  <si>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</si>
  <si>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</si>
  <si>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</si>
  <si>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</si>
  <si>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</si>
  <si>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</si>
  <si>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</si>
  <si>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</si>
  <si>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</si>
  <si>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</si>
  <si>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</si>
  <si>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</si>
  <si>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</si>
  <si>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</si>
  <si>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</si>
  <si>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</si>
  <si>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</si>
  <si>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</si>
  <si>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</si>
  <si>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</si>
  <si>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</si>
  <si>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</si>
  <si>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</si>
  <si>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</si>
  <si>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</si>
  <si>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</si>
  <si>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</si>
  <si>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</si>
  <si>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</si>
  <si>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</si>
  <si>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</si>
  <si>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</si>
  <si>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</si>
  <si>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</si>
  <si>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</si>
  <si>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</si>
  <si>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</si>
  <si>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</si>
  <si>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</si>
  <si>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</si>
  <si>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</si>
  <si>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</si>
  <si>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</si>
  <si>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</si>
  <si>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</si>
  <si>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</si>
  <si>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</si>
  <si>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</si>
  <si>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</si>
  <si>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</si>
  <si>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</si>
  <si>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</si>
  <si>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</si>
  <si>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</si>
  <si>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</si>
  <si>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</si>
  <si>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</si>
  <si>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</si>
  <si>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</si>
  <si>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</si>
  <si>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</si>
  <si>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</si>
  <si>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</si>
  <si>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</si>
  <si>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</si>
  <si>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</si>
  <si>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</si>
  <si>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</si>
  <si>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</si>
  <si>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</si>
  <si>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</si>
  <si>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</si>
  <si>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</si>
  <si>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</si>
  <si>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</si>
  <si>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</si>
  <si>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</si>
  <si>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</si>
  <si>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</si>
  <si>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по организации</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</si>
  <si>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</si>
  <si>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</si>
  <si>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</si>
  <si>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</si>
  <si>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</si>
  <si>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</si>
  <si>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</si>
  <si>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</si>
  <si>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</si>
  <si>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</si>
  <si>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</si>
  <si>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</si>
  <si>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</si>
  <si>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</si>
  <si>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</si>
  <si>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</si>
  <si>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</si>
  <si>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</si>
  <si>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</si>
  <si>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</si>
  <si>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</si>
  <si>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</si>
  <si>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</si>
  <si>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</si>
  <si>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</si>
  <si>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</si>
  <si>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</si>
  <si>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</si>
  <si>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</si>
  <si>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</si>
  <si>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</si>
  <si>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</si>
  <si>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</si>
  <si>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</si>
  <si>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</si>
  <si>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</si>
  <si>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</si>
  <si>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</si>
  <si>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</si>
  <si>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</si>
  <si>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</si>
  <si>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</si>
  <si>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</si>
  <si>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</si>
  <si>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</si>
  <si>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</si>
  <si>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</si>
  <si>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</si>
  <si>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</si>
  <si>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</si>
  <si>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</si>
  <si>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</si>
  <si>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</si>
  <si>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</si>
  <si>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</si>
  <si>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</si>
  <si>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</si>
  <si>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</si>
  <si>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</si>
  <si>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</si>
  <si>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</si>
  <si>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</si>
  <si>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</si>
  <si>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</si>
  <si>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</si>
  <si>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</si>
  <si>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</si>
  <si>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</si>
  <si>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</si>
  <si>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</si>
  <si>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</si>
  <si>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</si>
  <si>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</si>
  <si>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</si>
  <si>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</si>
  <si>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</si>
  <si>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</si>
  <si>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</si>
  <si>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</si>
  <si>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</si>
  <si>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</si>
  <si>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</si>
  <si>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</si>
  <si>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</si>
  <si>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</si>
  <si>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</si>
  <si>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</si>
  <si>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</si>
  <si>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</si>
  <si>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</si>
  <si>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</si>
  <si>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</si>
  <si>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</si>
  <si>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</si>
  <si>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</si>
  <si>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</si>
  <si>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</si>
  <si>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</si>
  <si>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</si>
  <si>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</si>
  <si>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</si>
  <si>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</si>
  <si>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</si>
  <si>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</si>
  <si>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</si>
  <si>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</si>
  <si>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</si>
  <si>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</si>
  <si>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</si>
  <si>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</si>
  <si>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</si>
  <si>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</si>
  <si>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</si>
  <si>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</si>
  <si>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</si>
  <si>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</si>
  <si>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</si>
  <si>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</si>
  <si>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</si>
  <si>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</si>
  <si>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</si>
  <si>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</si>
  <si>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</si>
  <si>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</si>
  <si>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</si>
  <si>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</si>
  <si>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</si>
  <si>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</si>
  <si>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</si>
  <si>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</si>
  <si>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</si>
  <si>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</si>
  <si>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</si>
  <si>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</si>
  <si>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</si>
  <si>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</si>
  <si>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</si>
  <si>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</si>
  <si>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</si>
  <si>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</si>
  <si>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</si>
  <si>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</si>
  <si>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</si>
  <si>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</si>
  <si>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</si>
  <si>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</si>
  <si>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</si>
  <si>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</si>
  <si>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</si>
  <si>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</si>
  <si>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</si>
  <si>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</si>
  <si>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</si>
  <si>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</si>
  <si>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</si>
  <si>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</si>
  <si>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</si>
  <si>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</si>
  <si>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</si>
  <si>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</si>
  <si>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</si>
  <si>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</si>
  <si>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</si>
  <si>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</si>
  <si>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</si>
  <si>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</si>
  <si>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</si>
  <si>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</si>
  <si>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</si>
  <si>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</si>
  <si>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</si>
  <si>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</si>
  <si>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</si>
  <si>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</si>
  <si>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</si>
  <si>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</si>
  <si>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</si>
  <si>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</si>
  <si>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</si>
  <si>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</si>
  <si>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</si>
  <si>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</si>
  <si>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</si>
  <si>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</si>
  <si>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</si>
  <si>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</si>
  <si>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</si>
  <si>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</si>
  <si>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</si>
  <si>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</si>
  <si>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</si>
  <si>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</si>
  <si>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</si>
  <si>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</si>
  <si>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</si>
  <si>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</si>
  <si>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</si>
  <si>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</si>
  <si>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</si>
  <si>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</si>
  <si>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</si>
  <si>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</si>
  <si>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</si>
  <si>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</si>
  <si>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</si>
  <si>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</si>
  <si>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</si>
  <si>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</si>
  <si>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</si>
  <si>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</si>
  <si>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</si>
  <si>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</si>
  <si>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</si>
  <si>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</si>
  <si>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</si>
  <si>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</si>
  <si>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</si>
  <si>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</si>
  <si>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</si>
  <si>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</si>
  <si>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</si>
  <si>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</si>
  <si>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</si>
  <si>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</si>
  <si>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</si>
  <si>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</si>
  <si>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</si>
  <si>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</si>
  <si>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</si>
  <si>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</si>
  <si>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</si>
  <si>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</si>
  <si>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</si>
  <si>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</si>
  <si>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</si>
  <si>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</si>
  <si>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</si>
  <si>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</si>
  <si>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</si>
  <si>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</si>
  <si>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</si>
  <si>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</si>
  <si>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</si>
  <si>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</si>
  <si>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</si>
  <si>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</si>
  <si>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</si>
  <si>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</si>
  <si>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</si>
  <si>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</si>
  <si>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</si>
  <si>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</si>
  <si>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</si>
  <si>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</si>
  <si>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</si>
  <si>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</si>
  <si>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</si>
  <si>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</si>
  <si>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</si>
  <si>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</si>
  <si>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</si>
  <si>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</si>
  <si>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</si>
  <si>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</si>
  <si>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</si>
  <si>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</si>
  <si>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</si>
  <si>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</si>
  <si>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</si>
  <si>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</si>
  <si>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</si>
  <si>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</si>
  <si>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</si>
  <si>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</si>
  <si>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</si>
  <si>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</si>
  <si>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</si>
  <si>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</si>
  <si>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</si>
  <si>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</si>
  <si>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</si>
  <si>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</si>
  <si>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</si>
  <si>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</si>
  <si>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</si>
  <si>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</si>
  <si>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</si>
  <si>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</si>
  <si>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</si>
  <si>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</si>
  <si>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</si>
  <si>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</si>
  <si>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</si>
  <si>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</si>
  <si>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</si>
  <si>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</si>
  <si>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</si>
  <si>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</si>
  <si>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</si>
  <si>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</si>
  <si>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</si>
  <si>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</si>
  <si>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</si>
  <si>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</si>
  <si>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</si>
  <si>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</si>
  <si>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</si>
  <si>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</si>
  <si>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</si>
  <si>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</si>
  <si>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</si>
  <si>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</si>
  <si>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</si>
  <si>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</si>
  <si>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</si>
  <si>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</si>
  <si>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</si>
  <si>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</si>
  <si>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</si>
  <si>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</si>
  <si>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</si>
  <si>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</si>
  <si>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</si>
  <si>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</si>
  <si>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</si>
  <si>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</si>
  <si>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</si>
  <si>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</si>
  <si>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</si>
  <si>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</si>
  <si>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</si>
  <si>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</si>
  <si>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</si>
  <si>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</si>
  <si>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</si>
  <si>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</si>
  <si>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</si>
  <si>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</si>
  <si>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</si>
  <si>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</si>
  <si>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</si>
  <si>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</si>
  <si>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</si>
  <si>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</si>
  <si>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</si>
  <si>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</si>
  <si>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</si>
  <si>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</si>
  <si>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</si>
  <si>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</si>
  <si>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</si>
  <si>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</si>
  <si>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</si>
  <si>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</si>
  <si>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</si>
  <si>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</si>
  <si>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</si>
  <si>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</si>
  <si>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</si>
  <si>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</si>
  <si>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</si>
  <si>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</si>
  <si>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</si>
  <si>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</si>
  <si>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</si>
  <si>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</si>
  <si>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</si>
  <si>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</si>
  <si>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</si>
  <si>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</si>
  <si>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</si>
  <si>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</si>
  <si>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</si>
  <si>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</si>
  <si>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</si>
  <si>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</si>
  <si>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</si>
  <si>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</si>
  <si>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</si>
  <si>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</si>
  <si>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</si>
  <si>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</si>
  <si>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</si>
  <si>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</si>
  <si>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</si>
  <si>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</si>
  <si>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</si>
  <si>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</si>
  <si>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</si>
  <si>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</si>
  <si>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</si>
  <si>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</si>
  <si>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</si>
  <si>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</si>
  <si>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</si>
  <si>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</si>
  <si>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</si>
  <si>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</si>
  <si>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</si>
  <si>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</si>
  <si>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</si>
  <si>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</si>
  <si>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</si>
  <si>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</si>
  <si>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</si>
  <si>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</si>
  <si>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</si>
  <si>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</si>
  <si>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</si>
  <si>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</si>
  <si>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</si>
  <si>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</si>
  <si>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</si>
  <si>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</si>
  <si>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</si>
  <si>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</si>
  <si>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</si>
  <si>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</si>
  <si>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</si>
  <si>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</si>
  <si>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</si>
  <si>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</si>
  <si>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</si>
  <si>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</si>
  <si>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</si>
  <si>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</si>
  <si>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</si>
  <si>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</si>
  <si>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</si>
  <si>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</si>
  <si>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</si>
  <si>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</si>
  <si>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</si>
  <si>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</si>
  <si>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</si>
  <si>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</si>
  <si>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</si>
  <si>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</si>
  <si>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</si>
  <si>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</si>
  <si>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</si>
  <si>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</si>
  <si>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</si>
  <si>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</si>
  <si>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</si>
  <si>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</si>
  <si>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</si>
  <si>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</si>
  <si>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</si>
  <si>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</si>
  <si>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</si>
  <si>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</si>
  <si>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</si>
  <si>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</si>
  <si>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</si>
  <si>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</si>
  <si>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</si>
  <si>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</si>
  <si>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</si>
  <si>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</si>
  <si>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</si>
  <si>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</si>
  <si>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</si>
  <si>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</si>
  <si>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</si>
  <si>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</si>
  <si>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</si>
  <si>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</si>
  <si>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</si>
  <si>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</si>
  <si>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</si>
  <si>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</si>
  <si>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</si>
  <si>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</si>
  <si>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</si>
  <si>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</si>
  <si>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</si>
  <si>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</si>
  <si>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</si>
  <si>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</si>
  <si>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</si>
  <si>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</si>
  <si>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</si>
  <si>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</si>
  <si>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</si>
  <si>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</si>
  <si>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</si>
  <si>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</si>
  <si>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</si>
  <si>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</si>
  <si>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</si>
  <si>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</si>
  <si>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</si>
  <si>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</si>
  <si>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</si>
  <si>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</si>
  <si>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</si>
  <si>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</si>
  <si>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</si>
  <si>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</si>
  <si>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</si>
  <si>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</si>
  <si>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</si>
  <si>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</si>
  <si>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</si>
  <si>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</si>
  <si>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</si>
  <si>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</si>
  <si>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</si>
  <si>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</si>
  <si>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</si>
  <si>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</si>
  <si>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</si>
  <si>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</si>
  <si>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</si>
  <si>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</si>
  <si>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</si>
  <si>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</si>
  <si>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</si>
  <si>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</si>
  <si>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</si>
  <si>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</si>
  <si>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</si>
  <si>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</si>
  <si>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</si>
  <si>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</si>
  <si>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</si>
  <si>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</si>
  <si>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</si>
  <si>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</si>
  <si>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</si>
  <si>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</si>
  <si>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</si>
  <si>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</si>
  <si>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</si>
  <si>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</si>
  <si>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</si>
  <si>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</si>
  <si>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</si>
  <si>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</si>
  <si>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</si>
  <si>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</si>
  <si>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</si>
  <si>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</si>
  <si>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</si>
  <si>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</si>
  <si>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</si>
  <si>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</si>
  <si>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</si>
  <si>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</si>
  <si>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</si>
  <si>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</si>
  <si>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</si>
  <si>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</si>
  <si>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</si>
  <si>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</si>
  <si>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</si>
  <si>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</si>
  <si>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</si>
  <si>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</si>
  <si>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</si>
  <si>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</si>
  <si>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</si>
  <si>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</si>
  <si>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</si>
  <si>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</si>
  <si>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</si>
  <si>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</si>
  <si>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</si>
  <si>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</si>
  <si>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</si>
  <si>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</si>
  <si>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</si>
  <si>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</si>
  <si>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</si>
  <si>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</si>
  <si>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</si>
  <si>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</si>
  <si>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</si>
  <si>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</si>
  <si>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</si>
  <si>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</si>
  <si>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</si>
  <si>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</si>
  <si>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</si>
  <si>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</si>
  <si>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</si>
  <si>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</si>
  <si>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</si>
  <si>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</si>
  <si>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</si>
  <si>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</si>
  <si>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</si>
  <si>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</si>
  <si>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</si>
  <si>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</si>
  <si>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</si>
  <si>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</si>
  <si>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</si>
  <si>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</si>
  <si>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</si>
  <si>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</si>
  <si>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</si>
  <si>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</si>
  <si>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</si>
  <si>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</si>
  <si>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</si>
  <si>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</si>
  <si>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</si>
  <si>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</si>
  <si>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</si>
  <si>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</si>
  <si>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</si>
  <si>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</si>
  <si>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</si>
  <si>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</si>
  <si>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</si>
  <si>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</si>
  <si>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</si>
  <si>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</si>
  <si>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</si>
  <si>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</si>
  <si>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</si>
  <si>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</si>
  <si>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</si>
  <si>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</si>
  <si>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</si>
  <si>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</si>
  <si>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</si>
  <si>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</si>
  <si>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</si>
  <si>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</si>
  <si>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</si>
  <si>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</si>
  <si>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</si>
  <si>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</si>
  <si>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</si>
  <si>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</si>
  <si>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</si>
  <si>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</si>
  <si>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</si>
  <si>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</si>
  <si>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</si>
  <si>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</si>
  <si>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</si>
  <si>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</si>
  <si>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</si>
  <si>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</si>
  <si>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</si>
  <si>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</si>
  <si>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</si>
  <si>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</si>
  <si>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</si>
  <si>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</si>
  <si>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</si>
  <si>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</si>
  <si>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</si>
  <si>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</si>
  <si>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</si>
  <si>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</si>
  <si>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</si>
  <si>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</si>
  <si>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</si>
  <si>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</si>
  <si>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</si>
  <si>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</si>
  <si>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</si>
  <si>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</si>
  <si>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</si>
  <si>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</si>
  <si>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</si>
  <si>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</si>
  <si>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</si>
  <si>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</si>
  <si>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</si>
  <si>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</si>
  <si>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</si>
  <si>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</si>
  <si>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</si>
  <si>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</si>
  <si>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</si>
  <si>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</si>
  <si>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</si>
  <si>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</si>
  <si>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</si>
  <si>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</si>
  <si>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</si>
  <si>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</si>
  <si>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</si>
  <si>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</si>
  <si>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</si>
  <si>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</si>
  <si>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</si>
  <si>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</si>
  <si>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</si>
  <si>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</si>
  <si>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</si>
  <si>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</si>
  <si>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</si>
  <si>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</si>
  <si>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</si>
  <si>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</si>
  <si>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</si>
  <si>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</si>
  <si>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</si>
  <si>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</si>
  <si>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</si>
  <si>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</si>
  <si>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</si>
  <si>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</si>
  <si>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</si>
  <si>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</si>
  <si>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</si>
  <si>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</si>
  <si>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</si>
  <si>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</si>
  <si>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</si>
  <si>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</si>
  <si>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</si>
  <si>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</si>
  <si>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</si>
  <si>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</si>
  <si>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</si>
  <si>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</si>
  <si>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</si>
  <si>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</si>
  <si>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</si>
  <si>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</si>
  <si>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</si>
  <si>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</si>
  <si>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</si>
  <si>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</si>
  <si>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</si>
  <si>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</si>
  <si>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</si>
  <si>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</si>
  <si>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</si>
  <si>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</si>
  <si>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</si>
  <si>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</si>
  <si>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</si>
  <si>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</si>
  <si>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</si>
  <si>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</si>
  <si>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</si>
  <si>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</si>
  <si>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</si>
  <si>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</si>
  <si>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</si>
  <si>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</si>
  <si>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</si>
  <si>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</si>
  <si>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</si>
  <si>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</si>
  <si>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</si>
  <si>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</si>
  <si>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</si>
  <si>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</si>
  <si>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</si>
  <si>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</si>
  <si>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</si>
  <si>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</si>
  <si>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</si>
  <si>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</si>
  <si>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</si>
  <si>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</si>
  <si>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</si>
  <si>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</si>
  <si>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</si>
  <si>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</si>
  <si>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</si>
  <si>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</si>
  <si>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</si>
  <si>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</si>
  <si>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</si>
  <si>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</si>
  <si>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</si>
  <si>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</si>
  <si>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</si>
  <si>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</si>
  <si>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</si>
  <si>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</si>
  <si>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</si>
  <si>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</si>
  <si>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</si>
  <si>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</si>
  <si>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</si>
  <si>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</si>
  <si>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</si>
  <si>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</si>
  <si>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</si>
  <si>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</si>
  <si>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</si>
  <si>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</si>
  <si>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</si>
  <si>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</si>
  <si>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</si>
  <si>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</si>
  <si>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</si>
  <si>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</si>
  <si>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</si>
  <si>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</si>
  <si>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</si>
  <si>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</si>
  <si>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</si>
  <si>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</si>
  <si>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</si>
  <si>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</si>
  <si>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</si>
  <si>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</si>
  <si>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</si>
  <si>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</si>
  <si>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</si>
  <si>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</si>
  <si>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</si>
  <si>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</si>
  <si>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</si>
  <si>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</si>
  <si>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</si>
  <si>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</si>
  <si>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</si>
  <si>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</si>
  <si>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</si>
  <si>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</si>
  <si>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</si>
  <si>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</si>
  <si>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</si>
  <si>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</si>
  <si>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</si>
  <si>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</si>
  <si>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</si>
  <si>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</si>
  <si>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</si>
  <si>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</si>
  <si>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</si>
  <si>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</si>
  <si>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</si>
  <si>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</si>
  <si>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</si>
  <si>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</si>
  <si>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</si>
  <si>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</si>
  <si>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</si>
  <si>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</si>
  <si>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</si>
  <si>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</si>
  <si>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</si>
  <si>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</si>
  <si>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</si>
  <si>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</si>
  <si>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</si>
  <si>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</si>
  <si>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</si>
  <si>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</si>
  <si>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</si>
  <si>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</si>
  <si>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</si>
  <si>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</si>
  <si>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</si>
  <si>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</si>
  <si>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</si>
  <si>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</si>
  <si>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</si>
  <si>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</si>
  <si>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</si>
  <si>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</si>
  <si>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</si>
  <si>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</si>
  <si>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</si>
  <si>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</si>
  <si>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</si>
  <si>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</si>
  <si>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</si>
  <si>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</si>
  <si>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</si>
  <si>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</si>
  <si>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</si>
  <si>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</si>
  <si>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</si>
  <si>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</si>
  <si>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</si>
  <si>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</si>
  <si>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</si>
  <si>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</si>
  <si>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</si>
  <si>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</si>
  <si>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</si>
  <si>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</si>
  <si>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</si>
  <si>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</si>
  <si>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</si>
  <si>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</si>
  <si>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</si>
  <si>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</si>
  <si>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</si>
  <si>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</si>
  <si>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</si>
  <si>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</si>
  <si>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</si>
  <si>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</si>
  <si>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</si>
  <si>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</si>
  <si>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</si>
  <si>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</si>
  <si>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</si>
  <si>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</si>
  <si>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</si>
  <si>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</si>
  <si>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</si>
  <si>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</si>
  <si>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</si>
  <si>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</si>
  <si>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</si>
  <si>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</si>
  <si>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</si>
  <si>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</si>
  <si>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</si>
  <si>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</si>
  <si>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</si>
  <si>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</si>
  <si>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</si>
  <si>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</si>
  <si>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</si>
  <si>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</si>
  <si>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</si>
  <si>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</si>
  <si>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</si>
  <si>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</si>
  <si>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</si>
  <si>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</si>
  <si>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</si>
  <si>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</si>
  <si>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</si>
  <si>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</si>
  <si>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</si>
  <si>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</si>
  <si>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</si>
  <si>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</si>
  <si>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</si>
  <si>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</si>
  <si>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</si>
  <si>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</si>
  <si>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</si>
  <si>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</si>
  <si>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</si>
  <si>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</si>
  <si>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</si>
  <si>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</si>
  <si>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</si>
  <si>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</si>
  <si>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</si>
  <si>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</si>
  <si>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</si>
  <si>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</si>
  <si>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</si>
  <si>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</si>
  <si>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</si>
  <si>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</si>
  <si>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</si>
  <si>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</si>
  <si>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</si>
  <si>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</si>
  <si>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</si>
  <si>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</si>
  <si>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</si>
  <si>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</si>
  <si>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</si>
  <si>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</si>
  <si>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</si>
  <si>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</si>
  <si>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</si>
  <si>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</si>
  <si>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</si>
  <si>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</si>
  <si>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</si>
  <si>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</si>
  <si>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</si>
  <si>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</si>
  <si>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</si>
  <si>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</si>
  <si>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</si>
  <si>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</si>
  <si>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</si>
  <si>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</si>
  <si>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</si>
  <si>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</si>
  <si>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</si>
  <si>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</si>
  <si>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</si>
  <si>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</si>
  <si>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</si>
  <si>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</si>
  <si>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</si>
  <si>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</si>
  <si>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</si>
  <si>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</si>
  <si>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</si>
  <si>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</si>
  <si>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</si>
  <si>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</si>
  <si>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</si>
  <si>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</si>
  <si>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</si>
  <si>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</si>
  <si>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</si>
  <si>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</si>
  <si>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</si>
  <si>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</si>
  <si>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</si>
  <si>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</si>
  <si>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</si>
  <si>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</si>
  <si>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</si>
  <si>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</si>
  <si>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</si>
  <si>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</si>
  <si>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</si>
  <si>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</si>
  <si>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</si>
  <si>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</si>
  <si>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</si>
  <si>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</si>
  <si>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</si>
  <si>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</si>
  <si>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</si>
  <si>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</si>
  <si>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</si>
  <si>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</si>
  <si>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</si>
  <si>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</si>
  <si>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</si>
  <si>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</si>
  <si>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</si>
  <si>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</si>
  <si>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</si>
  <si>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</si>
  <si>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</si>
  <si>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</si>
  <si>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</si>
  <si>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</si>
  <si>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</si>
  <si>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</si>
  <si>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</si>
  <si>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</si>
  <si>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</si>
  <si>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</si>
  <si>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</si>
  <si>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</si>
  <si>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</si>
  <si>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</si>
  <si>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</si>
  <si>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</si>
  <si>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</si>
  <si>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</si>
  <si>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</si>
  <si>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</si>
  <si>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</si>
  <si>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</si>
  <si>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</si>
  <si>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</si>
  <si>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</si>
  <si>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</si>
  <si>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</si>
  <si>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</si>
  <si>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</si>
  <si>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</si>
  <si>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</si>
  <si>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</si>
  <si>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</si>
  <si>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</si>
  <si>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</si>
  <si>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</si>
  <si>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</si>
  <si>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</si>
  <si>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</si>
  <si>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</si>
  <si>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</si>
  <si>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</si>
  <si>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</si>
  <si>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</si>
  <si>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</si>
  <si>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</si>
  <si>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</si>
  <si>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</si>
  <si>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</si>
  <si>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</si>
  <si>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</si>
  <si>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</si>
  <si>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</si>
  <si>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</si>
  <si>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</si>
  <si>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</si>
  <si>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</si>
  <si>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</si>
  <si>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</si>
  <si>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</si>
  <si>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</si>
  <si>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</si>
  <si>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</si>
  <si>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</si>
  <si>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</si>
  <si>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</si>
  <si>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</si>
  <si>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</si>
  <si>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</si>
  <si>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</si>
  <si>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</si>
  <si>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</si>
  <si>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</si>
  <si>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</si>
  <si>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</si>
  <si>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</si>
  <si>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</si>
  <si>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</si>
  <si>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</si>
  <si>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</si>
  <si>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</si>
  <si>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</si>
  <si>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</si>
  <si>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</si>
  <si>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</si>
  <si>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</si>
  <si>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</si>
  <si>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</si>
  <si>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</si>
  <si>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</si>
  <si>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</si>
  <si>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</si>
  <si>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</si>
  <si>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</si>
  <si>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</si>
  <si>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</si>
  <si>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</si>
  <si>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</si>
  <si>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</si>
  <si>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</si>
  <si>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</si>
  <si>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</si>
  <si>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</si>
  <si>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</si>
  <si>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</si>
  <si>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</si>
  <si>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</si>
  <si>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</si>
  <si>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</si>
  <si>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</si>
  <si>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</si>
  <si>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</si>
  <si>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</si>
  <si>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</si>
  <si>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</si>
  <si>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</si>
  <si>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31904006</t>
  </si>
  <si>
    <t>МБУ "ЦКУ"</t>
  </si>
  <si>
    <t>0400029269</t>
  </si>
  <si>
    <t>05-11-2025 00:00:00</t>
  </si>
  <si>
    <t>МИНИСТЕРСТВО СТРОИТЕЛЬСТВА И ЖИЛИЩНО-КОММУНАЛЬНОГО ХОЗЯЙСТВА РЕСПУБЛИКИ АЛТАЙ</t>
  </si>
  <si>
    <t>0411058173</t>
  </si>
  <si>
    <t>31819798</t>
  </si>
  <si>
    <t>МКУ "Управление жилищно-коммунального и дорожного хозяйства" МО "Кош-Агачский район</t>
  </si>
  <si>
    <t>0400024408</t>
  </si>
  <si>
    <t>31819350</t>
  </si>
  <si>
    <t>МУП "Горно-Алтайское ЖКХ"</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</si>
  <si>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</si>
  <si>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</si>
  <si>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</si>
  <si>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</si>
  <si>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</si>
  <si>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</si>
  <si>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</si>
  <si>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</si>
  <si>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</si>
  <si>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</si>
  <si>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</si>
  <si>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</si>
  <si>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</si>
  <si>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</si>
  <si>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</si>
  <si>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</si>
  <si>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</si>
  <si>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</si>
  <si>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</si>
  <si>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</si>
  <si>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</si>
  <si>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</si>
  <si>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</si>
  <si>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</si>
  <si>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</si>
  <si>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</si>
  <si>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</si>
  <si>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</si>
  <si>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</si>
  <si>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</si>
  <si>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</si>
  <si>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</si>
  <si>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</si>
  <si>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</si>
  <si>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</si>
  <si>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</si>
  <si>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</si>
  <si>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</si>
  <si>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</si>
  <si>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</si>
  <si>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</si>
  <si>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</si>
  <si>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</si>
  <si>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</si>
  <si>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</si>
  <si>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</si>
  <si>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</si>
  <si>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</si>
  <si>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</si>
  <si>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</si>
  <si>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</si>
  <si>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</si>
  <si>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</si>
  <si>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</si>
  <si>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</si>
  <si>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</si>
  <si>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</si>
  <si>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</si>
  <si>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</si>
  <si>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</si>
  <si>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</si>
  <si>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</si>
  <si>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</si>
  <si>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</si>
  <si>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</si>
  <si>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</si>
  <si>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</si>
  <si>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</si>
  <si>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</si>
  <si>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</si>
  <si>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</si>
  <si>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</si>
  <si>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</si>
  <si>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</si>
  <si>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</si>
  <si>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</si>
  <si>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</si>
  <si>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</si>
  <si>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</si>
  <si>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</si>
  <si>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</si>
  <si>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</si>
  <si>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</si>
  <si>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</si>
  <si>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</si>
  <si>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</si>
  <si>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</si>
  <si>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</si>
  <si>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</si>
  <si>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</si>
  <si>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</si>
  <si>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</si>
  <si>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</si>
  <si>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</si>
  <si>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</si>
  <si>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</si>
  <si>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</si>
  <si>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</si>
  <si>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</si>
  <si>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</si>
  <si>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</si>
  <si>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</si>
  <si>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</si>
  <si>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</si>
  <si>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</si>
  <si>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</si>
  <si>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</si>
  <si>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</si>
  <si>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</si>
  <si>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</si>
  <si>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</si>
  <si>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</si>
  <si>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</si>
  <si>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</si>
  <si>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</si>
  <si>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</si>
  <si>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</si>
  <si>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</si>
  <si>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</si>
  <si>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</si>
  <si>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</si>
  <si>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</si>
  <si>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</si>
  <si>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</si>
  <si>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</si>
  <si>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</si>
  <si>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</si>
  <si>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30-09-2025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</si>
  <si>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</si>
  <si>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</si>
  <si>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</si>
  <si>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</si>
  <si>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</si>
  <si>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</si>
  <si>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</si>
  <si>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</si>
  <si>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</si>
  <si>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</si>
  <si>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</si>
  <si>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</si>
  <si>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</si>
  <si>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</si>
  <si>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</si>
  <si>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</si>
  <si>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</si>
  <si>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</si>
  <si>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</si>
  <si>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</si>
  <si>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</si>
  <si>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</si>
  <si>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</si>
  <si>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</si>
  <si>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</si>
  <si>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</si>
  <si>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</si>
  <si>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</si>
  <si>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</si>
  <si>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</si>
  <si>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</si>
  <si>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</si>
  <si>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</si>
  <si>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</si>
  <si>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</si>
  <si>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</si>
  <si>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</si>
  <si>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</si>
  <si>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</si>
  <si>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</si>
  <si>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</si>
  <si>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</si>
  <si>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</si>
  <si>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</si>
  <si>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</si>
  <si>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</si>
  <si>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</si>
  <si>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</si>
  <si>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</si>
  <si>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</si>
  <si>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</si>
  <si>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</si>
  <si>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</si>
  <si>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</si>
  <si>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</si>
  <si>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</si>
  <si>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</si>
  <si>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</si>
  <si>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</si>
  <si>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</si>
  <si>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</si>
  <si>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</si>
  <si>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</si>
  <si>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</si>
  <si>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</si>
  <si>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</si>
  <si>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</si>
  <si>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</si>
  <si>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</si>
  <si>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</si>
  <si>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</si>
  <si>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</si>
  <si>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</si>
  <si>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</si>
  <si>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</si>
  <si>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</si>
  <si>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</si>
  <si>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</si>
  <si>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</si>
  <si>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</si>
  <si>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</si>
  <si>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</si>
  <si>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</si>
  <si>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</si>
  <si>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</si>
  <si>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</si>
  <si>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</si>
  <si>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</si>
  <si>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</si>
  <si>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Муниципальный округ Турочакский район</t>
  </si>
  <si>
    <t>84525000</t>
  </si>
  <si>
    <t>муниципальный округ</t>
  </si>
  <si>
    <t>Муниципальный округ Чойский район</t>
  </si>
  <si>
    <t>84545000</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</si>
  <si>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</si>
  <si>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</si>
  <si>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</si>
  <si>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</si>
  <si>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</si>
  <si>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</si>
  <si>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</si>
  <si>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</si>
  <si>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</si>
  <si>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</si>
  <si>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</si>
  <si>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</si>
  <si>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</si>
  <si>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</si>
  <si>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</si>
  <si>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</si>
  <si>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</si>
  <si>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</si>
  <si>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</si>
  <si>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</si>
  <si>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</si>
  <si>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</si>
  <si>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</si>
  <si>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</si>
  <si>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</si>
  <si>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</si>
  <si>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</si>
  <si>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</si>
  <si>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</si>
  <si>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</si>
  <si>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</si>
  <si>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</si>
  <si>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</si>
  <si>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</si>
  <si>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</si>
  <si>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</si>
  <si>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</si>
  <si>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</si>
  <si>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</si>
  <si>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</si>
  <si>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</si>
  <si>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</si>
  <si>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</si>
  <si>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</si>
  <si>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</si>
  <si>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</si>
  <si>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</si>
  <si>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</si>
  <si>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</si>
  <si>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</si>
  <si>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</si>
  <si>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</si>
  <si>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</si>
  <si>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</si>
  <si>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</si>
  <si>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</si>
  <si>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</si>
  <si>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</si>
  <si>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</si>
  <si>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</si>
  <si>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</si>
  <si>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</si>
  <si>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</si>
  <si>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</si>
  <si>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</si>
  <si>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</si>
  <si>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</si>
  <si>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</si>
  <si>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</si>
  <si>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</si>
  <si>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</si>
  <si>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</si>
  <si>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</si>
  <si>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</si>
  <si>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60</t>
  </si>
  <si>
    <t>Усть-Мутинское</t>
  </si>
  <si>
    <t>84635470</t>
  </si>
  <si>
    <t>61</t>
  </si>
  <si>
    <t>Черноануйское</t>
  </si>
  <si>
    <t>84635480</t>
  </si>
  <si>
    <t>62</t>
  </si>
  <si>
    <t>Ябоганское</t>
  </si>
  <si>
    <t>84635485</t>
  </si>
  <si>
    <t>63</t>
  </si>
  <si>
    <t>Яконурское</t>
  </si>
  <si>
    <t>84635488</t>
  </si>
  <si>
    <t>64</t>
  </si>
  <si>
    <t>Усть-Коксинский муниципальный район</t>
  </si>
  <si>
    <t>84640000</t>
  </si>
  <si>
    <t>Амурское</t>
  </si>
  <si>
    <t>84640405</t>
  </si>
  <si>
    <t>65</t>
  </si>
  <si>
    <t>Верх-Уймонское</t>
  </si>
  <si>
    <t>84640415</t>
  </si>
  <si>
    <t>Горбуновское</t>
  </si>
  <si>
    <t>84640420</t>
  </si>
  <si>
    <t>67</t>
  </si>
  <si>
    <t>Карагайское</t>
  </si>
  <si>
    <t>84640440</t>
  </si>
  <si>
    <t>Катандинское</t>
  </si>
  <si>
    <t>84640445</t>
  </si>
  <si>
    <t>69</t>
  </si>
  <si>
    <t>Огневское</t>
  </si>
  <si>
    <t>84640455</t>
  </si>
  <si>
    <t>70</t>
  </si>
  <si>
    <t>Талдинское</t>
  </si>
  <si>
    <t>84640465</t>
  </si>
  <si>
    <t>71</t>
  </si>
  <si>
    <t>72</t>
  </si>
  <si>
    <t>Усть-Коксинское</t>
  </si>
  <si>
    <t>84640475</t>
  </si>
  <si>
    <t>73</t>
  </si>
  <si>
    <t>Чендекское</t>
  </si>
  <si>
    <t>84640485</t>
  </si>
  <si>
    <t>74</t>
  </si>
  <si>
    <t>Чемальский муниципальный район</t>
  </si>
  <si>
    <t>84643000</t>
  </si>
  <si>
    <t>Аносинское</t>
  </si>
  <si>
    <t>84643405</t>
  </si>
  <si>
    <t>75</t>
  </si>
  <si>
    <t>Бешпельтирское</t>
  </si>
  <si>
    <t>84643410</t>
  </si>
  <si>
    <t>76</t>
  </si>
  <si>
    <t>Куюсское</t>
  </si>
  <si>
    <t>84643440</t>
  </si>
  <si>
    <t>77</t>
  </si>
  <si>
    <t>Узнезинское</t>
  </si>
  <si>
    <t>84643445</t>
  </si>
  <si>
    <t>78</t>
  </si>
  <si>
    <t>79</t>
  </si>
  <si>
    <t>Чемальское</t>
  </si>
  <si>
    <t>84643455</t>
  </si>
  <si>
    <t>80</t>
  </si>
  <si>
    <t>Чепошское</t>
  </si>
  <si>
    <t>84643460</t>
  </si>
  <si>
    <t>81</t>
  </si>
  <si>
    <t>Элекмонарское</t>
  </si>
  <si>
    <t>84643470</t>
  </si>
  <si>
    <t>82</t>
  </si>
  <si>
    <t>Чойский муниципальный район</t>
  </si>
  <si>
    <t>84645000</t>
  </si>
  <si>
    <t>Верх-Пьянковское</t>
  </si>
  <si>
    <t>84645410</t>
  </si>
  <si>
    <t>83</t>
  </si>
  <si>
    <t>Каракокшинское</t>
  </si>
  <si>
    <t>84645430</t>
  </si>
  <si>
    <t>84</t>
  </si>
  <si>
    <t>Паспаульское</t>
  </si>
  <si>
    <t>84645440</t>
  </si>
  <si>
    <t>85</t>
  </si>
  <si>
    <t>Сейкинское</t>
  </si>
  <si>
    <t>84645445</t>
  </si>
  <si>
    <t>86</t>
  </si>
  <si>
    <t>Уйменское</t>
  </si>
  <si>
    <t>84645450</t>
  </si>
  <si>
    <t>87</t>
  </si>
  <si>
    <t>88</t>
  </si>
  <si>
    <t>Чойское</t>
  </si>
  <si>
    <t>84645460</t>
  </si>
  <si>
    <t>89</t>
  </si>
  <si>
    <t>Ыныргинское</t>
  </si>
  <si>
    <t>84645470</t>
  </si>
  <si>
    <t>90</t>
  </si>
  <si>
    <t>Шебалинский муниципальный район</t>
  </si>
  <si>
    <t>84650000</t>
  </si>
  <si>
    <t>Актельское</t>
  </si>
  <si>
    <t>84650405</t>
  </si>
  <si>
    <t>91</t>
  </si>
  <si>
    <t>Барагашское</t>
  </si>
  <si>
    <t>84650415</t>
  </si>
  <si>
    <t>92</t>
  </si>
  <si>
    <t>Беш-Озекское</t>
  </si>
  <si>
    <t>84650420</t>
  </si>
  <si>
    <t>93</t>
  </si>
  <si>
    <t>Верх-Апшуяхтинское</t>
  </si>
  <si>
    <t>84650430</t>
  </si>
  <si>
    <t>94</t>
  </si>
  <si>
    <t>Дъектиекское</t>
  </si>
  <si>
    <t>84650435</t>
  </si>
  <si>
    <t>95</t>
  </si>
  <si>
    <t>Ильинское</t>
  </si>
  <si>
    <t>84650445</t>
  </si>
  <si>
    <t>96</t>
  </si>
  <si>
    <t>Камлакское</t>
  </si>
  <si>
    <t>84650455</t>
  </si>
  <si>
    <t>97</t>
  </si>
  <si>
    <t>Каспинское</t>
  </si>
  <si>
    <t>84650457</t>
  </si>
  <si>
    <t>98</t>
  </si>
  <si>
    <t>Малочергинское</t>
  </si>
  <si>
    <t>84650465</t>
  </si>
  <si>
    <t>99</t>
  </si>
  <si>
    <t>Улусчергинское</t>
  </si>
  <si>
    <t>84650475</t>
  </si>
  <si>
    <t>100</t>
  </si>
  <si>
    <t>Чергинское</t>
  </si>
  <si>
    <t>84650490</t>
  </si>
  <si>
    <t>101</t>
  </si>
  <si>
    <t>102</t>
  </si>
  <si>
    <t>Шебалинское</t>
  </si>
  <si>
    <t>84650492</t>
  </si>
  <si>
    <t>103</t>
  </si>
  <si>
    <t>Шыргайтинское</t>
  </si>
  <si>
    <t>84650494</t>
  </si>
  <si>
    <t>104</t>
  </si>
  <si>
    <t>NUMBER_POINT</t>
  </si>
  <si>
    <t>INVP_NAME</t>
  </si>
  <si>
    <t>INVP_ID</t>
  </si>
  <si>
    <t>L_START_DATE</t>
  </si>
  <si>
    <t>L_END_DATE</t>
  </si>
  <si>
    <t>L_DECISION_NAME</t>
  </si>
  <si>
    <t>L_DECISION_TYPE</t>
  </si>
  <si>
    <t>L_DECISION_NMBR</t>
  </si>
  <si>
    <t>L_DECISION_DATE</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</si>
  <si>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</si>
  <si>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8328024617</t>
  </si>
  <si>
    <t>Об утверждении инвестиционной программы АО "Водоканал" по развитию централизованных систем водоснабжения и водоотведения города Горно - Алтайск на 2024 - 2027 годы</t>
  </si>
  <si>
    <t>Об утверждении инвестиционной программы АО "Водоканал" по развитию централизованных систем водоснабжения и водоотведения города Горно-Алтайска на 2024 - 2027 годы</t>
  </si>
  <si>
    <t>Инвестиционная программа № П-07-01/488 от 01.11.2025 МУП "КРИСТАЛЛ" в сфере водоснабжения по модернизации объектов централизованной системы водоснабжения, на территории муниципального района Майминский на 2026-2028 годы</t>
  </si>
  <si>
    <t>01.01.2026</t>
  </si>
  <si>
    <t>31.12.2028</t>
  </si>
  <si>
    <t>7997321874</t>
  </si>
  <si>
    <t>Об утверждении инвестиционной программы АО "Водоканал" в сфере холодного водоснабжения по объектам концессионного соглашения на 2024 - 2037 годы</t>
  </si>
  <si>
    <t>7589519182</t>
  </si>
  <si>
    <t>TER_NAME</t>
  </si>
  <si>
    <t>Территория 1</t>
  </si>
  <si>
    <t>ID_TARIFF_NAME</t>
  </si>
  <si>
    <t>TARIFF_NAME</t>
  </si>
  <si>
    <t>VED_NAME</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</si>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</sst>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39" fillId="37" borderId="51" xfId="0" applyFont="1" applyFill="1" applyBorder="1" applyNumberFormat="1">
      <alignment horizontal="left" vertical="center" indent="1"/>
    </xf>
    <xf numFmtId="0" fontId="29" fillId="0" borderId="0" xfId="0" applyFont="1"/>
    <xf numFmtId="0" fontId="46" fillId="37" borderId="13"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3"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5" borderId="17" xfId="0" applyFont="1" applyFill="1" applyBorder="1" applyNumberFormat="1">
      <alignment horizontal="left" vertical="center" wrapText="1" indent="1"/>
    </xf>
    <xf numFmtId="1"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80174656-a8d8-4063-9556-84f3e3d6d758" TargetMode="External"/><Relationship Id="rId2" Type="http://schemas.openxmlformats.org/officeDocument/2006/relationships/hyperlink" Target="https://portal.eias.ru/Portal/DownloadPage.aspx?type=12&amp;guid=80174656-a8d8-4063-9556-84f3e3d6d75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baababc4-c6f3-4506-b37b-02c3accfb0db" TargetMode="External"/><Relationship Id="rId2" Type="http://schemas.openxmlformats.org/officeDocument/2006/relationships/hyperlink" Target="&apos;&#1055;&#1086;&#1082;&#1072;&#1079;&#1072;&#1090;&#1077;&#1083;&#1080; &#1050;&#1053;&#1069;&apos;!$K$62" TargetMode="External"/><Relationship Id="rId3" Type="http://schemas.openxmlformats.org/officeDocument/2006/relationships/hyperlink" Target="https://portal.eias.ru/Portal/DownloadPage.aspx?type=12&amp;guid=baababc4-c6f3-4506-b37b-02c3accfb0db" TargetMode="External"/><Relationship Id="rId4" Type="http://schemas.openxmlformats.org/officeDocument/2006/relationships/hyperlink" Target="&apos;&#1055;&#1086;&#1082;&#1072;&#1079;&#1072;&#1090;&#1077;&#1083;&#1080; &#1050;&#1053;&#1069;&apos;!$K$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1F41D-8854-585D-29B3-0.CCC7D23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4" width="5.421875" customWidth="1"/>
    <col min="2" max="2" style="2684" width="9.140625" customWidth="1"/>
    <col min="3" max="3" style="2684" width="16.421875" customWidth="1"/>
    <col min="4" max="25" style="2684" width="6.28125" customWidth="1"/>
    <col min="26" max="28" style="268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95B59-009F-FC05-CFCA-0.C5B0EB7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389</v>
      </c>
      <c r="F4" s="2260"/>
      <c r="G4" s="2261"/>
      <c r="H4" s="2261"/>
      <c r="I4" s="2262"/>
      <c r="J4" s="494"/>
      <c r="K4" s="456"/>
      <c r="L4" s="456"/>
      <c r="W4" s="450">
        <v>22</v>
      </c>
    </row>
    <row s="1638" customFormat="1" customHeight="1" ht="18">
      <c r="A5" s="762"/>
      <c r="D5" s="825"/>
      <c r="E5" s="2236" t="str">
        <f>IF(org=0,"Не определено",org)</f>
        <v>АО "Водоканал"</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301</v>
      </c>
      <c r="F7" s="2230"/>
      <c r="G7" s="2231"/>
      <c r="H7" s="2231"/>
      <c r="I7" s="2231"/>
      <c r="J7" s="2231"/>
      <c r="K7" s="2231"/>
      <c r="L7" s="2245" t="s">
        <v>302</v>
      </c>
      <c r="W7" s="450">
        <v>14</v>
      </c>
    </row>
    <row customHeight="1" ht="48.29999999999999">
      <c r="D8" s="453"/>
      <c r="E8" s="476" t="s">
        <v>88</v>
      </c>
      <c r="F8" s="826"/>
      <c r="G8" s="468" t="s">
        <v>86</v>
      </c>
      <c r="H8" s="468" t="s">
        <v>87</v>
      </c>
      <c r="I8" s="417" t="s">
        <v>85</v>
      </c>
      <c r="J8" s="417" t="s">
        <v>390</v>
      </c>
      <c r="K8" s="417" t="s">
        <v>391</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392</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62</v>
      </c>
      <c r="K12" s="1167" t="s">
        <v>22</v>
      </c>
      <c r="L12" s="2263"/>
      <c r="M12" s="514"/>
      <c r="N12" s="514"/>
      <c r="O12" s="514"/>
      <c r="P12" s="519" t="s">
        <v>393</v>
      </c>
      <c r="Q12" s="519" t="s">
        <v>394</v>
      </c>
      <c r="R12" s="520" t="s">
        <v>395</v>
      </c>
      <c r="S12" s="514" t="s">
        <v>396</v>
      </c>
      <c r="T12" s="514"/>
      <c r="U12" s="514"/>
      <c r="V12" s="514"/>
      <c r="W12" s="483">
        <v>14</v>
      </c>
    </row>
    <row customHeight="1" ht="15.75">
      <c r="A13" s="2121"/>
      <c r="B13" s="508"/>
      <c r="D13" s="509"/>
      <c r="E13" s="408"/>
      <c r="F13" s="532"/>
      <c r="G13" s="419" t="s">
        <v>102</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CBFEC-1A03-A142-2E95-0.0FBA7D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126</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397</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398</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399</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400</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401</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402</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403</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404</v>
      </c>
      <c r="M6" s="540"/>
      <c r="P6" s="2279">
        <v>1</v>
      </c>
      <c r="Q6" s="1308"/>
      <c r="R6" s="359"/>
      <c r="S6" s="1312">
        <f>$I6</f>
      </c>
      <c r="T6" s="288" t="s">
        <v>405</v>
      </c>
      <c r="U6" s="303"/>
      <c r="V6" s="2267"/>
      <c r="W6" s="2268"/>
      <c r="X6" s="2268"/>
      <c r="Y6" s="2268"/>
      <c r="Z6" s="2268"/>
      <c r="AA6" s="2268"/>
      <c r="AB6" s="2268"/>
      <c r="AC6" s="2269"/>
      <c r="AD6" s="2267"/>
      <c r="AE6" s="2268"/>
      <c r="AF6" s="2268"/>
      <c r="AG6" s="2268"/>
      <c r="AH6" s="2268"/>
      <c r="AI6" s="2268"/>
      <c r="AJ6" s="2268"/>
      <c r="AK6" s="2268"/>
      <c r="AL6" s="2269"/>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407</v>
      </c>
      <c r="M7" s="540"/>
      <c r="N7" s="1369"/>
      <c r="P7" s="2279"/>
      <c r="Q7" s="2279">
        <v>1</v>
      </c>
      <c r="R7" s="360"/>
      <c r="S7" s="1312">
        <f>$J7</f>
      </c>
      <c r="T7" s="289" t="s">
        <v>408</v>
      </c>
      <c r="U7" s="303"/>
      <c r="V7" s="2267"/>
      <c r="W7" s="2268"/>
      <c r="X7" s="2268"/>
      <c r="Y7" s="2268"/>
      <c r="Z7" s="2268"/>
      <c r="AA7" s="2268"/>
      <c r="AB7" s="2268"/>
      <c r="AC7" s="2269"/>
      <c r="AD7" s="2267"/>
      <c r="AE7" s="2268"/>
      <c r="AF7" s="2268"/>
      <c r="AG7" s="2268"/>
      <c r="AH7" s="2268"/>
      <c r="AI7" s="2268"/>
      <c r="AJ7" s="2268"/>
      <c r="AK7" s="2268"/>
      <c r="AL7" s="2269"/>
      <c r="AM7" s="1261" t="s">
        <v>409</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410</v>
      </c>
      <c r="M8" s="540"/>
      <c r="N8" s="1369"/>
      <c r="O8" s="1369"/>
      <c r="P8" s="2279"/>
      <c r="Q8" s="2279"/>
      <c r="R8" s="360">
        <v>1</v>
      </c>
      <c r="S8" s="1312">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411</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62</v>
      </c>
      <c r="AJ17" s="2289"/>
      <c r="AK17" s="2290" t="s">
        <v>62</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АО "Водоканал"</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301</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302</v>
      </c>
      <c r="AS38" s="1158">
        <v>14</v>
      </c>
    </row>
    <row customHeight="1" ht="14.699999999999998">
      <c r="Q39" s="379"/>
      <c r="R39" s="379"/>
      <c r="S39" s="2295" t="s">
        <v>88</v>
      </c>
      <c r="T39" s="2231" t="s">
        <v>425</v>
      </c>
      <c r="U39" s="304"/>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158">
        <v>14</v>
      </c>
    </row>
    <row customHeight="1" ht="35.699999999999996">
      <c r="Q40" s="379"/>
      <c r="R40" s="379"/>
      <c r="S40" s="2295"/>
      <c r="T40" s="2231"/>
      <c r="U40" s="1034"/>
      <c r="V40" s="2282" t="s">
        <v>430</v>
      </c>
      <c r="W40" s="2636" t="s">
        <v>431</v>
      </c>
      <c r="X40" s="2284" t="s">
        <v>432</v>
      </c>
      <c r="Y40" s="2285"/>
      <c r="Z40" s="2284" t="s">
        <v>433</v>
      </c>
      <c r="AA40" s="2291"/>
      <c r="AB40" s="2285"/>
      <c r="AC40" s="2300"/>
      <c r="AD40" s="2282" t="s">
        <v>430</v>
      </c>
      <c r="AE40" s="2305" t="s">
        <v>431</v>
      </c>
      <c r="AF40" s="2284" t="s">
        <v>432</v>
      </c>
      <c r="AG40" s="2285"/>
      <c r="AH40" s="2284" t="s">
        <v>433</v>
      </c>
      <c r="AI40" s="2291"/>
      <c r="AJ40" s="2285"/>
      <c r="AK40" s="2300"/>
      <c r="AL40" s="2303"/>
      <c r="AM40" s="2149"/>
      <c r="AS40" s="1158">
        <v>34</v>
      </c>
    </row>
    <row customHeight="1" ht="35.699999999999996">
      <c r="A41" s="1373"/>
      <c r="B41" s="1373" t="s">
        <v>138</v>
      </c>
      <c r="C41" s="1373" t="s">
        <v>139</v>
      </c>
      <c r="D41" s="1373" t="s">
        <v>140</v>
      </c>
      <c r="E41" s="1367" t="s">
        <v>434</v>
      </c>
      <c r="F41" s="1367" t="s">
        <v>435</v>
      </c>
      <c r="G41" s="1367" t="s">
        <v>436</v>
      </c>
      <c r="H41" s="1367" t="s">
        <v>437</v>
      </c>
      <c r="I41" s="1367" t="s">
        <v>438</v>
      </c>
      <c r="J41" s="1367" t="s">
        <v>439</v>
      </c>
      <c r="K41" s="1367" t="s">
        <v>440</v>
      </c>
      <c r="L41" s="1367" t="s">
        <v>419</v>
      </c>
      <c r="Q41" s="379"/>
      <c r="R41" s="379"/>
      <c r="S41" s="2295"/>
      <c r="T41" s="2231"/>
      <c r="U41" s="305"/>
      <c r="V41" s="2283"/>
      <c r="W41" s="2306"/>
      <c r="X41" s="1225" t="s">
        <v>441</v>
      </c>
      <c r="Y41" s="1225" t="s">
        <v>442</v>
      </c>
      <c r="Z41" s="1224" t="s">
        <v>443</v>
      </c>
      <c r="AA41" s="2292" t="s">
        <v>444</v>
      </c>
      <c r="AB41" s="2293"/>
      <c r="AC41" s="2301"/>
      <c r="AD41" s="2283"/>
      <c r="AE41" s="2306"/>
      <c r="AF41" s="1225" t="s">
        <v>441</v>
      </c>
      <c r="AG41" s="1225" t="s">
        <v>442</v>
      </c>
      <c r="AH41" s="1316" t="s">
        <v>443</v>
      </c>
      <c r="AI41" s="2292" t="s">
        <v>444</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99</v>
      </c>
      <c r="T42" s="1258" t="s">
        <v>109</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159</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126</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159</v>
      </c>
      <c r="B44" s="1366" t="s">
        <v>160</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398</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399</v>
      </c>
      <c r="AO44" s="503"/>
      <c r="AP44" s="503" t="str">
        <f>IF(T44="","",T44)</f>
        <v>Территория действия тарифа</v>
      </c>
      <c r="AQ44" s="503"/>
      <c r="AR44" s="503"/>
      <c r="AS44" s="1158">
        <v>23</v>
      </c>
    </row>
    <row customHeight="1" ht="24">
      <c r="A45" s="1366" t="s">
        <v>159</v>
      </c>
      <c r="B45" s="1366" t="s">
        <v>160</v>
      </c>
      <c r="C45" s="1366" t="s">
        <v>161</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400</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401</v>
      </c>
      <c r="AO45" s="503"/>
      <c r="AP45" s="503" t="str">
        <f>IF(T45="","",T45)</f>
        <v>Наименование системы теплоснабжения </v>
      </c>
      <c r="AQ45" s="503"/>
      <c r="AR45" s="503"/>
      <c r="AS45" s="1158">
        <v>23</v>
      </c>
    </row>
    <row customHeight="1" ht="24">
      <c r="A46" s="1366" t="s">
        <v>159</v>
      </c>
      <c r="B46" s="1366" t="s">
        <v>160</v>
      </c>
      <c r="C46" s="1366" t="s">
        <v>161</v>
      </c>
      <c r="D46" s="1366" t="s">
        <v>162</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402</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403</v>
      </c>
      <c r="AO46" s="503"/>
      <c r="AP46" s="503" t="str">
        <f>IF(T46="","",T46)</f>
        <v>Источник тепловой энергии  </v>
      </c>
      <c r="AQ46" s="503"/>
      <c r="AR46" s="503"/>
      <c r="AS46" s="1158">
        <v>23</v>
      </c>
    </row>
    <row customHeight="1" ht="49.5">
      <c r="A47" s="1366" t="s">
        <v>159</v>
      </c>
      <c r="B47" s="1366" t="s">
        <v>160</v>
      </c>
      <c r="C47" s="1366" t="s">
        <v>161</v>
      </c>
      <c r="D47" s="1366" t="s">
        <v>162</v>
      </c>
      <c r="E47" s="2281"/>
      <c r="F47" s="2281"/>
      <c r="G47" s="2281"/>
      <c r="H47" s="2281"/>
      <c r="I47" s="2278" t="str">
        <f>S46&amp;".1"</f>
        <v>....1</v>
      </c>
      <c r="J47" s="1366"/>
      <c r="K47" s="1366"/>
      <c r="L47" s="1367" t="s">
        <v>404</v>
      </c>
      <c r="P47" s="2279">
        <v>1</v>
      </c>
      <c r="Q47" s="1223"/>
      <c r="R47" s="359"/>
      <c r="S47" s="1227" t="str">
        <f>$I47</f>
        <v>....1</v>
      </c>
      <c r="T47" s="288" t="s">
        <v>405</v>
      </c>
      <c r="U47" s="303"/>
      <c r="V47" s="2267"/>
      <c r="W47" s="2268"/>
      <c r="X47" s="2268"/>
      <c r="Y47" s="2268"/>
      <c r="Z47" s="2268"/>
      <c r="AA47" s="2268"/>
      <c r="AB47" s="2268"/>
      <c r="AC47" s="2269"/>
      <c r="AD47" s="2267"/>
      <c r="AE47" s="2268"/>
      <c r="AF47" s="2268"/>
      <c r="AG47" s="2268"/>
      <c r="AH47" s="2268"/>
      <c r="AI47" s="2268"/>
      <c r="AJ47" s="2268"/>
      <c r="AK47" s="2268"/>
      <c r="AL47" s="2269"/>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159</v>
      </c>
      <c r="B48" s="1366" t="s">
        <v>160</v>
      </c>
      <c r="C48" s="1366" t="s">
        <v>161</v>
      </c>
      <c r="D48" s="1366" t="s">
        <v>162</v>
      </c>
      <c r="E48" s="2281"/>
      <c r="F48" s="2281"/>
      <c r="G48" s="2281"/>
      <c r="H48" s="2281"/>
      <c r="I48" s="2308"/>
      <c r="J48" s="2278" t="str">
        <f>I47&amp;".1"</f>
        <v>....1.1</v>
      </c>
      <c r="K48" s="1366"/>
      <c r="L48" s="1367" t="s">
        <v>407</v>
      </c>
      <c r="P48" s="2279"/>
      <c r="Q48" s="2279">
        <v>1</v>
      </c>
      <c r="R48" s="360"/>
      <c r="S48" s="1227" t="str">
        <f>$J48</f>
        <v>....1.1</v>
      </c>
      <c r="T48" s="289" t="s">
        <v>408</v>
      </c>
      <c r="U48" s="303"/>
      <c r="V48" s="2267"/>
      <c r="W48" s="2268"/>
      <c r="X48" s="2268"/>
      <c r="Y48" s="2268"/>
      <c r="Z48" s="2268"/>
      <c r="AA48" s="2268"/>
      <c r="AB48" s="2268"/>
      <c r="AC48" s="2269"/>
      <c r="AD48" s="2267"/>
      <c r="AE48" s="2268"/>
      <c r="AF48" s="2268"/>
      <c r="AG48" s="2268"/>
      <c r="AH48" s="2268"/>
      <c r="AI48" s="2268"/>
      <c r="AJ48" s="2268"/>
      <c r="AK48" s="2268"/>
      <c r="AL48" s="2269"/>
      <c r="AM48" s="1261" t="s">
        <v>409</v>
      </c>
      <c r="AO48" s="503"/>
      <c r="AP48" s="503" t="str">
        <f>IF(T48="","",T48)</f>
        <v>Группа потребителей</v>
      </c>
      <c r="AQ48" s="503"/>
      <c r="AR48" s="503"/>
      <c r="AS48" s="1158">
        <v>23</v>
      </c>
    </row>
    <row customHeight="1" ht="24">
      <c r="A49" s="1366" t="s">
        <v>159</v>
      </c>
      <c r="B49" s="1366" t="s">
        <v>160</v>
      </c>
      <c r="C49" s="1366" t="s">
        <v>161</v>
      </c>
      <c r="D49" s="1366" t="s">
        <v>162</v>
      </c>
      <c r="E49" s="2281"/>
      <c r="F49" s="2281"/>
      <c r="G49" s="2281"/>
      <c r="H49" s="2281"/>
      <c r="I49" s="2308"/>
      <c r="J49" s="2308"/>
      <c r="K49" s="2278" t="str">
        <f>J48&amp;".1"</f>
        <v>....1.1.1</v>
      </c>
      <c r="L49" s="1367" t="s">
        <v>410</v>
      </c>
      <c r="P49" s="2279"/>
      <c r="Q49" s="2279"/>
      <c r="R49" s="360">
        <v>1</v>
      </c>
      <c r="S49" s="1227"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411</v>
      </c>
      <c r="AN49" s="514">
        <f>STRCHECKDATE(V50:AL50)</f>
      </c>
      <c r="AO49" s="503"/>
      <c r="AP49" s="503" t="str">
        <f>IF(T49="","",T49)</f>
        <v/>
      </c>
      <c r="AQ49" s="503"/>
      <c r="AR49" s="503"/>
      <c r="AS49" s="1158">
        <v>23</v>
      </c>
    </row>
    <row customHeight="1" ht="1.05">
      <c r="A50" s="1366" t="s">
        <v>159</v>
      </c>
      <c r="B50" s="1366" t="s">
        <v>160</v>
      </c>
      <c r="C50" s="1366" t="s">
        <v>161</v>
      </c>
      <c r="D50" s="1366" t="s">
        <v>162</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159</v>
      </c>
      <c r="B51" s="1366" t="s">
        <v>160</v>
      </c>
      <c r="C51" s="1366" t="s">
        <v>161</v>
      </c>
      <c r="D51" s="1366" t="s">
        <v>162</v>
      </c>
      <c r="E51" s="2281"/>
      <c r="F51" s="2281"/>
      <c r="G51" s="2281"/>
      <c r="H51" s="2281"/>
      <c r="I51" s="2308"/>
      <c r="J51" s="2278"/>
      <c r="K51" s="1366"/>
      <c r="L51" s="1367"/>
      <c r="P51" s="2279"/>
      <c r="Q51" s="2279"/>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159</v>
      </c>
      <c r="B52" s="1366" t="s">
        <v>160</v>
      </c>
      <c r="C52" s="1366" t="s">
        <v>161</v>
      </c>
      <c r="D52" s="1366" t="s">
        <v>162</v>
      </c>
      <c r="E52" s="2281"/>
      <c r="F52" s="2281"/>
      <c r="G52" s="2281"/>
      <c r="H52" s="2281"/>
      <c r="I52" s="2278"/>
      <c r="J52" s="1366"/>
      <c r="K52" s="1366"/>
      <c r="L52" s="1367"/>
      <c r="P52" s="2279"/>
      <c r="Q52" s="1223"/>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159</v>
      </c>
      <c r="B53" s="1366" t="s">
        <v>160</v>
      </c>
      <c r="C53" s="1366" t="s">
        <v>161</v>
      </c>
      <c r="D53" s="1366" t="s">
        <v>162</v>
      </c>
      <c r="E53" s="2281"/>
      <c r="F53" s="2281"/>
      <c r="G53" s="2281"/>
      <c r="H53" s="2280"/>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159</v>
      </c>
      <c r="B54" s="1346" t="s">
        <v>160</v>
      </c>
      <c r="C54" s="1346" t="s">
        <v>161</v>
      </c>
      <c r="D54" s="1317"/>
      <c r="E54" s="2281"/>
      <c r="F54" s="2281"/>
      <c r="G54" s="2280"/>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159</v>
      </c>
      <c r="B55" s="1346" t="s">
        <v>160</v>
      </c>
      <c r="C55" s="1317"/>
      <c r="D55" s="1317"/>
      <c r="E55" s="2281"/>
      <c r="F55" s="2280"/>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159</v>
      </c>
      <c r="B56" s="1346"/>
      <c r="C56" s="1346"/>
      <c r="D56" s="1346"/>
      <c r="E56" s="2280"/>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69801-A92D-C8DA-5AD8-0.84F428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397</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398</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399</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400</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401</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402</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403</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404</v>
      </c>
      <c r="M6" s="540"/>
      <c r="P6" s="2279">
        <v>1</v>
      </c>
      <c r="Q6" s="1334"/>
      <c r="R6" s="359"/>
      <c r="S6" s="1339">
        <f>$I6</f>
      </c>
      <c r="T6" s="288" t="s">
        <v>405</v>
      </c>
      <c r="U6" s="303"/>
      <c r="V6" s="2267"/>
      <c r="W6" s="2268"/>
      <c r="X6" s="2268"/>
      <c r="Y6" s="2268"/>
      <c r="Z6" s="2268"/>
      <c r="AA6" s="2268"/>
      <c r="AB6" s="2268"/>
      <c r="AC6" s="2269"/>
      <c r="AD6" s="2267"/>
      <c r="AE6" s="2268"/>
      <c r="AF6" s="2268"/>
      <c r="AG6" s="2268"/>
      <c r="AH6" s="2268"/>
      <c r="AI6" s="2268"/>
      <c r="AJ6" s="2268"/>
      <c r="AK6" s="2268"/>
      <c r="AL6" s="2269"/>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407</v>
      </c>
      <c r="M7" s="540"/>
      <c r="N7" s="1369"/>
      <c r="P7" s="2279"/>
      <c r="Q7" s="2279">
        <v>1</v>
      </c>
      <c r="R7" s="360"/>
      <c r="S7" s="1339">
        <f>$J7</f>
      </c>
      <c r="T7" s="289" t="s">
        <v>408</v>
      </c>
      <c r="U7" s="303"/>
      <c r="V7" s="2267"/>
      <c r="W7" s="2268"/>
      <c r="X7" s="2268"/>
      <c r="Y7" s="2268"/>
      <c r="Z7" s="2268"/>
      <c r="AA7" s="2268"/>
      <c r="AB7" s="2268"/>
      <c r="AC7" s="2269"/>
      <c r="AD7" s="2267"/>
      <c r="AE7" s="2268"/>
      <c r="AF7" s="2268"/>
      <c r="AG7" s="2268"/>
      <c r="AH7" s="2268"/>
      <c r="AI7" s="2268"/>
      <c r="AJ7" s="2268"/>
      <c r="AK7" s="2268"/>
      <c r="AL7" s="2269"/>
      <c r="AM7" s="1261" t="s">
        <v>409</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410</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411</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АО "Водоканал"</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301</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302</v>
      </c>
      <c r="AS38" s="1158">
        <v>14</v>
      </c>
    </row>
    <row customHeight="1" ht="14.699999999999998">
      <c r="Q39" s="379"/>
      <c r="R39" s="379"/>
      <c r="S39" s="2295" t="s">
        <v>88</v>
      </c>
      <c r="T39" s="2231" t="s">
        <v>425</v>
      </c>
      <c r="U39" s="304"/>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158">
        <v>14</v>
      </c>
    </row>
    <row customHeight="1" ht="35.699999999999996">
      <c r="Q40" s="379"/>
      <c r="R40" s="379"/>
      <c r="S40" s="2295"/>
      <c r="T40" s="2231"/>
      <c r="U40" s="1034"/>
      <c r="V40" s="2282" t="s">
        <v>430</v>
      </c>
      <c r="W40" s="2305" t="s">
        <v>431</v>
      </c>
      <c r="X40" s="2284" t="s">
        <v>432</v>
      </c>
      <c r="Y40" s="2285"/>
      <c r="Z40" s="2284" t="s">
        <v>446</v>
      </c>
      <c r="AA40" s="2291"/>
      <c r="AB40" s="2285"/>
      <c r="AC40" s="2300"/>
      <c r="AD40" s="2282" t="s">
        <v>430</v>
      </c>
      <c r="AE40" s="2305" t="s">
        <v>431</v>
      </c>
      <c r="AF40" s="2284" t="s">
        <v>432</v>
      </c>
      <c r="AG40" s="2285"/>
      <c r="AH40" s="2284" t="s">
        <v>433</v>
      </c>
      <c r="AI40" s="2291"/>
      <c r="AJ40" s="2285"/>
      <c r="AK40" s="2300"/>
      <c r="AL40" s="2303"/>
      <c r="AM40" s="2149"/>
      <c r="AS40" s="1158">
        <v>34</v>
      </c>
    </row>
    <row customHeight="1" ht="35.699999999999996">
      <c r="A41" s="1373"/>
      <c r="B41" s="1373" t="s">
        <v>138</v>
      </c>
      <c r="C41" s="1373" t="s">
        <v>139</v>
      </c>
      <c r="D41" s="1373" t="s">
        <v>140</v>
      </c>
      <c r="E41" s="1367" t="s">
        <v>434</v>
      </c>
      <c r="F41" s="1367" t="s">
        <v>435</v>
      </c>
      <c r="G41" s="1367" t="s">
        <v>436</v>
      </c>
      <c r="H41" s="1367" t="s">
        <v>437</v>
      </c>
      <c r="I41" s="1367" t="s">
        <v>438</v>
      </c>
      <c r="J41" s="1367" t="s">
        <v>439</v>
      </c>
      <c r="K41" s="1367" t="s">
        <v>440</v>
      </c>
      <c r="L41" s="1367" t="s">
        <v>419</v>
      </c>
      <c r="Q41" s="379"/>
      <c r="R41" s="379"/>
      <c r="S41" s="2295"/>
      <c r="T41" s="2231"/>
      <c r="U41" s="305"/>
      <c r="V41" s="2283"/>
      <c r="W41" s="2306"/>
      <c r="X41" s="1225" t="s">
        <v>441</v>
      </c>
      <c r="Y41" s="1225" t="s">
        <v>442</v>
      </c>
      <c r="Z41" s="1341" t="s">
        <v>443</v>
      </c>
      <c r="AA41" s="2292" t="s">
        <v>444</v>
      </c>
      <c r="AB41" s="2293"/>
      <c r="AC41" s="2301"/>
      <c r="AD41" s="2283"/>
      <c r="AE41" s="2306"/>
      <c r="AF41" s="1225" t="s">
        <v>441</v>
      </c>
      <c r="AG41" s="1225" t="s">
        <v>442</v>
      </c>
      <c r="AH41" s="1341" t="s">
        <v>443</v>
      </c>
      <c r="AI41" s="2292" t="s">
        <v>444</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99</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164</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164</v>
      </c>
      <c r="B44" s="1366" t="s">
        <v>165</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399</v>
      </c>
      <c r="AO44" s="503"/>
      <c r="AP44" s="503" t="str">
        <f>IF(T44="","",T44)</f>
        <v>Территория действия тарифа</v>
      </c>
      <c r="AQ44" s="503"/>
      <c r="AR44" s="503"/>
      <c r="AS44" s="1158">
        <v>21</v>
      </c>
    </row>
    <row customHeight="1" ht="24">
      <c r="A45" s="1366" t="s">
        <v>164</v>
      </c>
      <c r="B45" s="1366" t="s">
        <v>165</v>
      </c>
      <c r="C45" s="1366" t="s">
        <v>166</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401</v>
      </c>
      <c r="AO45" s="503"/>
      <c r="AP45" s="503" t="str">
        <f>IF(T45="","",T45)</f>
        <v>Наименование системы теплоснабжения </v>
      </c>
      <c r="AQ45" s="503"/>
      <c r="AR45" s="503"/>
      <c r="AS45" s="1158">
        <v>23</v>
      </c>
    </row>
    <row customHeight="1" ht="22.049999999999997">
      <c r="A46" s="1366" t="s">
        <v>164</v>
      </c>
      <c r="B46" s="1366" t="s">
        <v>165</v>
      </c>
      <c r="C46" s="1366" t="s">
        <v>166</v>
      </c>
      <c r="D46" s="1366" t="s">
        <v>167</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402</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403</v>
      </c>
      <c r="AO46" s="503"/>
      <c r="AP46" s="503" t="str">
        <f>IF(T46="","",T46)</f>
        <v>Источник тепловой энергии  </v>
      </c>
      <c r="AQ46" s="503"/>
      <c r="AR46" s="503"/>
      <c r="AS46" s="1158">
        <v>21</v>
      </c>
    </row>
    <row customHeight="1" ht="49.5">
      <c r="A47" s="1366" t="s">
        <v>164</v>
      </c>
      <c r="B47" s="1366" t="s">
        <v>165</v>
      </c>
      <c r="C47" s="1366" t="s">
        <v>166</v>
      </c>
      <c r="D47" s="1366" t="s">
        <v>167</v>
      </c>
      <c r="E47" s="2281"/>
      <c r="F47" s="2281"/>
      <c r="G47" s="2281"/>
      <c r="H47" s="2281"/>
      <c r="I47" s="2278" t="str">
        <f>S46&amp;".1"</f>
        <v>....1</v>
      </c>
      <c r="J47" s="1366"/>
      <c r="K47" s="1366"/>
      <c r="L47" s="1367" t="s">
        <v>404</v>
      </c>
      <c r="P47" s="2279">
        <v>1</v>
      </c>
      <c r="Q47" s="1334"/>
      <c r="R47" s="359"/>
      <c r="S47" s="1339" t="str">
        <f>$I47</f>
        <v>....1</v>
      </c>
      <c r="T47" s="288" t="s">
        <v>405</v>
      </c>
      <c r="U47" s="303"/>
      <c r="V47" s="2267"/>
      <c r="W47" s="2268"/>
      <c r="X47" s="2268"/>
      <c r="Y47" s="2268"/>
      <c r="Z47" s="2268"/>
      <c r="AA47" s="2268"/>
      <c r="AB47" s="2268"/>
      <c r="AC47" s="2269"/>
      <c r="AD47" s="2267"/>
      <c r="AE47" s="2268"/>
      <c r="AF47" s="2268"/>
      <c r="AG47" s="2268"/>
      <c r="AH47" s="2268"/>
      <c r="AI47" s="2268"/>
      <c r="AJ47" s="2268"/>
      <c r="AK47" s="2268"/>
      <c r="AL47" s="2269"/>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164</v>
      </c>
      <c r="B48" s="1366" t="s">
        <v>165</v>
      </c>
      <c r="C48" s="1366" t="s">
        <v>166</v>
      </c>
      <c r="D48" s="1366" t="s">
        <v>167</v>
      </c>
      <c r="E48" s="2281"/>
      <c r="F48" s="2281"/>
      <c r="G48" s="2281"/>
      <c r="H48" s="2281"/>
      <c r="I48" s="2308"/>
      <c r="J48" s="2278" t="str">
        <f>I47&amp;".1"</f>
        <v>....1.1</v>
      </c>
      <c r="K48" s="1366"/>
      <c r="L48" s="1367" t="s">
        <v>407</v>
      </c>
      <c r="P48" s="2279"/>
      <c r="Q48" s="2279">
        <v>1</v>
      </c>
      <c r="R48" s="360"/>
      <c r="S48" s="1339" t="str">
        <f>$J48</f>
        <v>....1.1</v>
      </c>
      <c r="T48" s="289" t="s">
        <v>408</v>
      </c>
      <c r="U48" s="303"/>
      <c r="V48" s="2267"/>
      <c r="W48" s="2268"/>
      <c r="X48" s="2268"/>
      <c r="Y48" s="2268"/>
      <c r="Z48" s="2268"/>
      <c r="AA48" s="2268"/>
      <c r="AB48" s="2268"/>
      <c r="AC48" s="2269"/>
      <c r="AD48" s="2267"/>
      <c r="AE48" s="2268"/>
      <c r="AF48" s="2268"/>
      <c r="AG48" s="2268"/>
      <c r="AH48" s="2268"/>
      <c r="AI48" s="2268"/>
      <c r="AJ48" s="2268"/>
      <c r="AK48" s="2268"/>
      <c r="AL48" s="2269"/>
      <c r="AM48" s="1261" t="s">
        <v>409</v>
      </c>
      <c r="AO48" s="503"/>
      <c r="AP48" s="503" t="str">
        <f>IF(T48="","",T48)</f>
        <v>Группа потребителей</v>
      </c>
      <c r="AQ48" s="503"/>
      <c r="AR48" s="503"/>
      <c r="AS48" s="1158">
        <v>21</v>
      </c>
    </row>
    <row customHeight="1" ht="22.049999999999997">
      <c r="A49" s="1366" t="s">
        <v>164</v>
      </c>
      <c r="B49" s="1366" t="s">
        <v>165</v>
      </c>
      <c r="C49" s="1366" t="s">
        <v>166</v>
      </c>
      <c r="D49" s="1366" t="s">
        <v>167</v>
      </c>
      <c r="E49" s="2281"/>
      <c r="F49" s="2281"/>
      <c r="G49" s="2281"/>
      <c r="H49" s="2281"/>
      <c r="I49" s="2308"/>
      <c r="J49" s="2308"/>
      <c r="K49" s="2278" t="str">
        <f>J48&amp;".1"</f>
        <v>....1.1.1</v>
      </c>
      <c r="L49" s="1367" t="s">
        <v>410</v>
      </c>
      <c r="P49" s="2279"/>
      <c r="Q49" s="2279"/>
      <c r="R49" s="360">
        <v>1</v>
      </c>
      <c r="S49" s="1339"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411</v>
      </c>
      <c r="AN49" s="514">
        <f>STRCHECKDATE(V50:AL50)</f>
      </c>
      <c r="AO49" s="503"/>
      <c r="AP49" s="503" t="str">
        <f>IF(T49="","",T49)</f>
        <v/>
      </c>
      <c r="AQ49" s="503"/>
      <c r="AR49" s="503"/>
      <c r="AS49" s="1158">
        <v>21</v>
      </c>
    </row>
    <row customHeight="1" ht="1.05">
      <c r="A50" s="1366" t="s">
        <v>164</v>
      </c>
      <c r="B50" s="1366" t="s">
        <v>165</v>
      </c>
      <c r="C50" s="1366" t="s">
        <v>166</v>
      </c>
      <c r="D50" s="1366" t="s">
        <v>167</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164</v>
      </c>
      <c r="B51" s="1366" t="s">
        <v>165</v>
      </c>
      <c r="C51" s="1366" t="s">
        <v>166</v>
      </c>
      <c r="D51" s="1366" t="s">
        <v>167</v>
      </c>
      <c r="E51" s="2281"/>
      <c r="F51" s="2281"/>
      <c r="G51" s="2281"/>
      <c r="H51" s="2281"/>
      <c r="I51" s="2308"/>
      <c r="J51" s="2278"/>
      <c r="K51" s="1366"/>
      <c r="L51" s="1367"/>
      <c r="P51" s="2279"/>
      <c r="Q51" s="2279"/>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164</v>
      </c>
      <c r="B52" s="1366" t="s">
        <v>165</v>
      </c>
      <c r="C52" s="1366" t="s">
        <v>166</v>
      </c>
      <c r="D52" s="1366" t="s">
        <v>167</v>
      </c>
      <c r="E52" s="2281"/>
      <c r="F52" s="2281"/>
      <c r="G52" s="2281"/>
      <c r="H52" s="2281"/>
      <c r="I52" s="2278"/>
      <c r="J52" s="1366"/>
      <c r="K52" s="1366"/>
      <c r="L52" s="1367"/>
      <c r="P52" s="2279"/>
      <c r="Q52" s="1334"/>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164</v>
      </c>
      <c r="B53" s="1366" t="s">
        <v>165</v>
      </c>
      <c r="C53" s="1366" t="s">
        <v>166</v>
      </c>
      <c r="D53" s="1366" t="s">
        <v>167</v>
      </c>
      <c r="E53" s="2281"/>
      <c r="F53" s="2281"/>
      <c r="G53" s="2281"/>
      <c r="H53" s="2280"/>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164</v>
      </c>
      <c r="B54" s="1346" t="s">
        <v>165</v>
      </c>
      <c r="C54" s="1346" t="s">
        <v>166</v>
      </c>
      <c r="D54" s="1317"/>
      <c r="E54" s="2281"/>
      <c r="F54" s="2281"/>
      <c r="G54" s="2280"/>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164</v>
      </c>
      <c r="B55" s="1346" t="s">
        <v>165</v>
      </c>
      <c r="C55" s="1317"/>
      <c r="D55" s="1317"/>
      <c r="E55" s="2281"/>
      <c r="F55" s="2280"/>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164</v>
      </c>
      <c r="B56" s="1346"/>
      <c r="C56" s="1346"/>
      <c r="D56" s="1346"/>
      <c r="E56" s="2280"/>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2BB54-1752-AEFC-C199-0.CD70CAF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126</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397</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398</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399</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400</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401</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402</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403</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404</v>
      </c>
      <c r="M6" s="1638"/>
      <c r="P6" s="2279">
        <v>1</v>
      </c>
      <c r="Q6" s="1954"/>
      <c r="R6" s="359"/>
      <c r="S6" s="1958">
        <f>$I6</f>
      </c>
      <c r="T6" s="288" t="s">
        <v>405</v>
      </c>
      <c r="U6" s="303"/>
      <c r="V6" s="2267"/>
      <c r="W6" s="2268"/>
      <c r="X6" s="2268"/>
      <c r="Y6" s="2268"/>
      <c r="Z6" s="2268"/>
      <c r="AA6" s="2268"/>
      <c r="AB6" s="2268"/>
      <c r="AC6" s="2269"/>
      <c r="AD6" s="2267"/>
      <c r="AE6" s="2268"/>
      <c r="AF6" s="2268"/>
      <c r="AG6" s="2268"/>
      <c r="AH6" s="2268"/>
      <c r="AI6" s="2268"/>
      <c r="AJ6" s="2268"/>
      <c r="AK6" s="2268"/>
      <c r="AL6" s="2269"/>
      <c r="AM6" s="1261" t="s">
        <v>406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407</v>
      </c>
      <c r="M7" s="1638"/>
      <c r="N7" s="1634"/>
      <c r="P7" s="2279"/>
      <c r="Q7" s="2279">
        <v>1</v>
      </c>
      <c r="R7" s="360"/>
      <c r="S7" s="1958">
        <f>$J7</f>
      </c>
      <c r="T7" s="289" t="s">
        <v>408</v>
      </c>
      <c r="U7" s="303"/>
      <c r="V7" s="2267"/>
      <c r="W7" s="2268"/>
      <c r="X7" s="2268"/>
      <c r="Y7" s="2268"/>
      <c r="Z7" s="2268"/>
      <c r="AA7" s="2268"/>
      <c r="AB7" s="2268"/>
      <c r="AC7" s="2269"/>
      <c r="AD7" s="2267"/>
      <c r="AE7" s="2268"/>
      <c r="AF7" s="2268"/>
      <c r="AG7" s="2268"/>
      <c r="AH7" s="2268"/>
      <c r="AI7" s="2268"/>
      <c r="AJ7" s="2268"/>
      <c r="AK7" s="2268"/>
      <c r="AL7" s="2269"/>
      <c r="AM7" s="1261" t="s">
        <v>409</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410</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411</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412</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АО "Водоканал"</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301</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302</v>
      </c>
      <c r="AS38" s="1634">
        <v>14</v>
      </c>
    </row>
    <row customHeight="1" ht="14.699999999999998">
      <c r="Q39" s="379"/>
      <c r="R39" s="379"/>
      <c r="S39" s="2295" t="s">
        <v>88</v>
      </c>
      <c r="T39" s="2231" t="s">
        <v>425</v>
      </c>
      <c r="U39" s="340"/>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634">
        <v>14</v>
      </c>
    </row>
    <row customHeight="1" ht="35.699999999999996">
      <c r="Q40" s="379"/>
      <c r="R40" s="379"/>
      <c r="S40" s="2295"/>
      <c r="T40" s="2231"/>
      <c r="U40" s="1034"/>
      <c r="V40" s="2282" t="s">
        <v>430</v>
      </c>
      <c r="W40" s="2305" t="s">
        <v>431</v>
      </c>
      <c r="X40" s="2284" t="s">
        <v>432</v>
      </c>
      <c r="Y40" s="2285"/>
      <c r="Z40" s="2284" t="s">
        <v>446</v>
      </c>
      <c r="AA40" s="2291"/>
      <c r="AB40" s="2285"/>
      <c r="AC40" s="2300"/>
      <c r="AD40" s="2282" t="s">
        <v>430</v>
      </c>
      <c r="AE40" s="2305" t="s">
        <v>431</v>
      </c>
      <c r="AF40" s="2284" t="s">
        <v>432</v>
      </c>
      <c r="AG40" s="2285"/>
      <c r="AH40" s="2284" t="s">
        <v>433</v>
      </c>
      <c r="AI40" s="2291"/>
      <c r="AJ40" s="2285"/>
      <c r="AK40" s="2300"/>
      <c r="AL40" s="2303"/>
      <c r="AM40" s="2149"/>
      <c r="AS40" s="1634">
        <v>34</v>
      </c>
    </row>
    <row customHeight="1" ht="35.699999999999996">
      <c r="A41" s="1269"/>
      <c r="B41" s="1269" t="s">
        <v>138</v>
      </c>
      <c r="C41" s="1269" t="s">
        <v>139</v>
      </c>
      <c r="D41" s="1269" t="s">
        <v>140</v>
      </c>
      <c r="E41" s="1313" t="s">
        <v>434</v>
      </c>
      <c r="F41" s="1313" t="s">
        <v>435</v>
      </c>
      <c r="G41" s="1313" t="s">
        <v>436</v>
      </c>
      <c r="H41" s="1313" t="s">
        <v>437</v>
      </c>
      <c r="I41" s="1313" t="s">
        <v>438</v>
      </c>
      <c r="J41" s="1313" t="s">
        <v>439</v>
      </c>
      <c r="K41" s="1313" t="s">
        <v>440</v>
      </c>
      <c r="L41" s="1313" t="s">
        <v>419</v>
      </c>
      <c r="Q41" s="379"/>
      <c r="R41" s="379"/>
      <c r="S41" s="2295"/>
      <c r="T41" s="2231"/>
      <c r="U41" s="305"/>
      <c r="V41" s="2283"/>
      <c r="W41" s="2306"/>
      <c r="X41" s="1938" t="s">
        <v>441</v>
      </c>
      <c r="Y41" s="1938" t="s">
        <v>442</v>
      </c>
      <c r="Z41" s="1938" t="s">
        <v>443</v>
      </c>
      <c r="AA41" s="2292" t="s">
        <v>444</v>
      </c>
      <c r="AB41" s="2293"/>
      <c r="AC41" s="2301"/>
      <c r="AD41" s="2283"/>
      <c r="AE41" s="2306"/>
      <c r="AF41" s="1938" t="s">
        <v>441</v>
      </c>
      <c r="AG41" s="1938" t="s">
        <v>442</v>
      </c>
      <c r="AH41" s="1938" t="s">
        <v>443</v>
      </c>
      <c r="AI41" s="2292" t="s">
        <v>444</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99</v>
      </c>
      <c r="T42" s="1258" t="s">
        <v>109</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213</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126</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213</v>
      </c>
      <c r="B44" s="1270" t="s">
        <v>214</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398</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399</v>
      </c>
      <c r="AO44" s="1627"/>
      <c r="AP44" s="1627" t="str">
        <f>IF(T44="","",T44)</f>
        <v>Территория действия тарифа</v>
      </c>
      <c r="AQ44" s="1627"/>
      <c r="AR44" s="1627"/>
      <c r="AS44" s="1634">
        <v>21</v>
      </c>
    </row>
    <row customHeight="1" ht="24">
      <c r="A45" s="1270" t="s">
        <v>213</v>
      </c>
      <c r="B45" s="1270" t="s">
        <v>214</v>
      </c>
      <c r="C45" s="1270" t="s">
        <v>215</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400</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401</v>
      </c>
      <c r="AO45" s="1627"/>
      <c r="AP45" s="1627" t="str">
        <f>IF(T45="","",T45)</f>
        <v>Наименование системы теплоснабжения </v>
      </c>
      <c r="AQ45" s="1627"/>
      <c r="AR45" s="1627"/>
      <c r="AS45" s="1634">
        <v>23</v>
      </c>
    </row>
    <row customHeight="1" ht="22.049999999999997">
      <c r="A46" s="1270" t="s">
        <v>213</v>
      </c>
      <c r="B46" s="1270" t="s">
        <v>214</v>
      </c>
      <c r="C46" s="1270" t="s">
        <v>215</v>
      </c>
      <c r="D46" s="1270" t="s">
        <v>216</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402</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403</v>
      </c>
      <c r="AO46" s="1627"/>
      <c r="AP46" s="1627" t="str">
        <f>IF(T46="","",T46)</f>
        <v>Источник тепловой энергии  </v>
      </c>
      <c r="AQ46" s="1627"/>
      <c r="AR46" s="1627"/>
      <c r="AS46" s="1634">
        <v>21</v>
      </c>
    </row>
    <row customHeight="1" ht="49.5">
      <c r="A47" s="1270" t="s">
        <v>213</v>
      </c>
      <c r="B47" s="1270" t="s">
        <v>214</v>
      </c>
      <c r="C47" s="1270" t="s">
        <v>215</v>
      </c>
      <c r="D47" s="1270" t="s">
        <v>216</v>
      </c>
      <c r="E47" s="2312"/>
      <c r="F47" s="2312"/>
      <c r="G47" s="2312"/>
      <c r="H47" s="2312"/>
      <c r="I47" s="2149" t="str">
        <f>S46&amp;".1"</f>
        <v>....1</v>
      </c>
      <c r="J47" s="1270"/>
      <c r="K47" s="1270"/>
      <c r="L47" s="1313" t="s">
        <v>404</v>
      </c>
      <c r="P47" s="2279">
        <v>1</v>
      </c>
      <c r="Q47" s="1954"/>
      <c r="R47" s="359"/>
      <c r="S47" s="1958" t="str">
        <f>$I47</f>
        <v>....1</v>
      </c>
      <c r="T47" s="288" t="s">
        <v>405</v>
      </c>
      <c r="U47" s="303"/>
      <c r="V47" s="2267"/>
      <c r="W47" s="2268"/>
      <c r="X47" s="2268"/>
      <c r="Y47" s="2268"/>
      <c r="Z47" s="2268"/>
      <c r="AA47" s="2268"/>
      <c r="AB47" s="2268"/>
      <c r="AC47" s="2269"/>
      <c r="AD47" s="2267"/>
      <c r="AE47" s="2268"/>
      <c r="AF47" s="2268"/>
      <c r="AG47" s="2268"/>
      <c r="AH47" s="2268"/>
      <c r="AI47" s="2268"/>
      <c r="AJ47" s="2268"/>
      <c r="AK47" s="2268"/>
      <c r="AL47" s="2269"/>
      <c r="AM47" s="1261" t="s">
        <v>406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213</v>
      </c>
      <c r="B48" s="1270" t="s">
        <v>214</v>
      </c>
      <c r="C48" s="1270" t="s">
        <v>215</v>
      </c>
      <c r="D48" s="1270" t="s">
        <v>216</v>
      </c>
      <c r="E48" s="2312"/>
      <c r="F48" s="2312"/>
      <c r="G48" s="2312"/>
      <c r="H48" s="2312"/>
      <c r="I48" s="2123"/>
      <c r="J48" s="2149" t="str">
        <f>I47&amp;".1"</f>
        <v>....1.1</v>
      </c>
      <c r="K48" s="1270"/>
      <c r="L48" s="1313" t="s">
        <v>407</v>
      </c>
      <c r="P48" s="2279"/>
      <c r="Q48" s="2279">
        <v>1</v>
      </c>
      <c r="R48" s="360"/>
      <c r="S48" s="1958" t="str">
        <f>$J48</f>
        <v>....1.1</v>
      </c>
      <c r="T48" s="289" t="s">
        <v>408</v>
      </c>
      <c r="U48" s="303"/>
      <c r="V48" s="2267"/>
      <c r="W48" s="2268"/>
      <c r="X48" s="2268"/>
      <c r="Y48" s="2268"/>
      <c r="Z48" s="2268"/>
      <c r="AA48" s="2268"/>
      <c r="AB48" s="2268"/>
      <c r="AC48" s="2269"/>
      <c r="AD48" s="2267"/>
      <c r="AE48" s="2268"/>
      <c r="AF48" s="2268"/>
      <c r="AG48" s="2268"/>
      <c r="AH48" s="2268"/>
      <c r="AI48" s="2268"/>
      <c r="AJ48" s="2268"/>
      <c r="AK48" s="2268"/>
      <c r="AL48" s="2269"/>
      <c r="AM48" s="1261" t="s">
        <v>409</v>
      </c>
      <c r="AO48" s="1627"/>
      <c r="AP48" s="1627" t="str">
        <f>IF(T48="","",T48)</f>
        <v>Группа потребителей</v>
      </c>
      <c r="AQ48" s="1627"/>
      <c r="AR48" s="1627"/>
      <c r="AS48" s="1634">
        <v>21</v>
      </c>
    </row>
    <row customHeight="1" ht="22.049999999999997">
      <c r="A49" s="1270" t="s">
        <v>213</v>
      </c>
      <c r="B49" s="1270" t="s">
        <v>214</v>
      </c>
      <c r="C49" s="1270" t="s">
        <v>215</v>
      </c>
      <c r="D49" s="1270" t="s">
        <v>216</v>
      </c>
      <c r="E49" s="2312"/>
      <c r="F49" s="2312"/>
      <c r="G49" s="2312"/>
      <c r="H49" s="2312"/>
      <c r="I49" s="2123"/>
      <c r="J49" s="2123"/>
      <c r="K49" s="2149" t="str">
        <f>J48&amp;".1"</f>
        <v>....1.1.1</v>
      </c>
      <c r="L49" s="1313" t="s">
        <v>410</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411</v>
      </c>
      <c r="AN49" s="1639">
        <f>STRCHECKDATE(V50:AL50)</f>
      </c>
      <c r="AO49" s="1627"/>
      <c r="AP49" s="1627" t="str">
        <f>IF(T49="","",T49)</f>
        <v/>
      </c>
      <c r="AQ49" s="1627"/>
      <c r="AR49" s="1627"/>
      <c r="AS49" s="1634">
        <v>21</v>
      </c>
    </row>
    <row customHeight="1" ht="1.05">
      <c r="A50" s="1270" t="s">
        <v>213</v>
      </c>
      <c r="B50" s="1270" t="s">
        <v>214</v>
      </c>
      <c r="C50" s="1270" t="s">
        <v>215</v>
      </c>
      <c r="D50" s="1270" t="s">
        <v>216</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213</v>
      </c>
      <c r="B51" s="1270" t="s">
        <v>214</v>
      </c>
      <c r="C51" s="1270" t="s">
        <v>215</v>
      </c>
      <c r="D51" s="1270" t="s">
        <v>216</v>
      </c>
      <c r="E51" s="2312"/>
      <c r="F51" s="2312"/>
      <c r="G51" s="2312"/>
      <c r="H51" s="2312"/>
      <c r="I51" s="2123"/>
      <c r="J51" s="2149"/>
      <c r="K51" s="1270"/>
      <c r="L51" s="1313"/>
      <c r="P51" s="2279"/>
      <c r="Q51" s="2279"/>
      <c r="R51" s="359"/>
      <c r="S51" s="1281"/>
      <c r="T51" s="291" t="s">
        <v>412</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213</v>
      </c>
      <c r="B52" s="1270" t="s">
        <v>214</v>
      </c>
      <c r="C52" s="1270" t="s">
        <v>215</v>
      </c>
      <c r="D52" s="1270" t="s">
        <v>216</v>
      </c>
      <c r="E52" s="2312"/>
      <c r="F52" s="2312"/>
      <c r="G52" s="2312"/>
      <c r="H52" s="2312"/>
      <c r="I52" s="2149"/>
      <c r="J52" s="1270"/>
      <c r="K52" s="1270"/>
      <c r="L52" s="1313"/>
      <c r="P52" s="2279"/>
      <c r="Q52" s="1954"/>
      <c r="R52" s="359"/>
      <c r="S52" s="1281"/>
      <c r="T52" s="290" t="s">
        <v>413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213</v>
      </c>
      <c r="B53" s="1270" t="s">
        <v>214</v>
      </c>
      <c r="C53" s="1270" t="s">
        <v>215</v>
      </c>
      <c r="D53" s="1270" t="s">
        <v>216</v>
      </c>
      <c r="E53" s="2312"/>
      <c r="F53" s="2312"/>
      <c r="G53" s="2312"/>
      <c r="H53" s="2311"/>
      <c r="I53" s="1270"/>
      <c r="J53" s="1270"/>
      <c r="K53" s="1270"/>
      <c r="L53" s="1313"/>
      <c r="M53" s="1613"/>
      <c r="N53" s="1613"/>
      <c r="O53" s="1638"/>
      <c r="P53" s="363"/>
      <c r="Q53" s="378"/>
      <c r="R53" s="358"/>
      <c r="S53" s="1281"/>
      <c r="T53" s="368" t="s">
        <v>414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213</v>
      </c>
      <c r="B54" s="1378" t="s">
        <v>214</v>
      </c>
      <c r="C54" s="1378" t="s">
        <v>215</v>
      </c>
      <c r="D54" s="1377"/>
      <c r="E54" s="2312"/>
      <c r="F54" s="2312"/>
      <c r="G54" s="2311"/>
      <c r="H54" s="1377"/>
      <c r="I54" s="1377"/>
      <c r="J54" s="1377"/>
      <c r="K54" s="1377"/>
      <c r="L54" s="1380"/>
      <c r="M54" s="1381"/>
      <c r="N54" s="1381"/>
      <c r="O54" s="354"/>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213</v>
      </c>
      <c r="B55" s="1378" t="s">
        <v>214</v>
      </c>
      <c r="C55" s="1377"/>
      <c r="D55" s="1377"/>
      <c r="E55" s="2312"/>
      <c r="F55" s="2311"/>
      <c r="G55" s="1377"/>
      <c r="H55" s="1377"/>
      <c r="I55" s="1377"/>
      <c r="J55" s="1377"/>
      <c r="K55" s="1377"/>
      <c r="L55" s="1380"/>
      <c r="M55" s="1382"/>
      <c r="N55" s="1382"/>
      <c r="O55" s="35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213</v>
      </c>
      <c r="B56" s="1378"/>
      <c r="C56" s="1378"/>
      <c r="D56" s="1378"/>
      <c r="E56" s="2311"/>
      <c r="F56" s="1378"/>
      <c r="G56" s="1378"/>
      <c r="H56" s="1378"/>
      <c r="I56" s="1378"/>
      <c r="J56" s="1378"/>
      <c r="K56" s="1378"/>
      <c r="L56" s="1384"/>
      <c r="M56" s="1382"/>
      <c r="N56" s="1382"/>
      <c r="O56" s="354"/>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4B337-8751-35BF-98F7-0.218F09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126</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397</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398</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399</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400</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401</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402</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403</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404</v>
      </c>
      <c r="M6" s="1638"/>
      <c r="P6" s="2279">
        <v>1</v>
      </c>
      <c r="Q6" s="1954"/>
      <c r="R6" s="359"/>
      <c r="S6" s="1958">
        <f>$I6</f>
      </c>
      <c r="T6" s="288" t="s">
        <v>405</v>
      </c>
      <c r="U6" s="303"/>
      <c r="V6" s="2267"/>
      <c r="W6" s="2268"/>
      <c r="X6" s="2268"/>
      <c r="Y6" s="2268"/>
      <c r="Z6" s="2268"/>
      <c r="AA6" s="2268"/>
      <c r="AB6" s="2268"/>
      <c r="AC6" s="2269"/>
      <c r="AD6" s="2267"/>
      <c r="AE6" s="2268"/>
      <c r="AF6" s="2268"/>
      <c r="AG6" s="2268"/>
      <c r="AH6" s="2268"/>
      <c r="AI6" s="2268"/>
      <c r="AJ6" s="2268"/>
      <c r="AK6" s="2268"/>
      <c r="AL6" s="2269"/>
      <c r="AM6" s="1261" t="s">
        <v>406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407</v>
      </c>
      <c r="M7" s="1638"/>
      <c r="N7" s="1634"/>
      <c r="P7" s="2279"/>
      <c r="Q7" s="2279">
        <v>1</v>
      </c>
      <c r="R7" s="360"/>
      <c r="S7" s="1958">
        <f>$J7</f>
      </c>
      <c r="T7" s="289" t="s">
        <v>408</v>
      </c>
      <c r="U7" s="303"/>
      <c r="V7" s="2267"/>
      <c r="W7" s="2268"/>
      <c r="X7" s="2268"/>
      <c r="Y7" s="2268"/>
      <c r="Z7" s="2268"/>
      <c r="AA7" s="2268"/>
      <c r="AB7" s="2268"/>
      <c r="AC7" s="2269"/>
      <c r="AD7" s="2267"/>
      <c r="AE7" s="2268"/>
      <c r="AF7" s="2268"/>
      <c r="AG7" s="2268"/>
      <c r="AH7" s="2268"/>
      <c r="AI7" s="2268"/>
      <c r="AJ7" s="2268"/>
      <c r="AK7" s="2268"/>
      <c r="AL7" s="2269"/>
      <c r="AM7" s="1261" t="s">
        <v>409</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410</v>
      </c>
      <c r="M8" s="1638"/>
      <c r="N8" s="1634"/>
      <c r="O8" s="1634"/>
      <c r="P8" s="2279"/>
      <c r="Q8" s="2279"/>
      <c r="R8" s="360">
        <v>1</v>
      </c>
      <c r="S8" s="1958">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411</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412</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62</v>
      </c>
      <c r="AJ17" s="2289"/>
      <c r="AK17" s="2290" t="s">
        <v>62</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АО "Водоканал"</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301</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302</v>
      </c>
      <c r="AS38" s="1634">
        <v>14</v>
      </c>
    </row>
    <row customHeight="1" ht="14.699999999999998">
      <c r="Q39" s="379"/>
      <c r="R39" s="379"/>
      <c r="S39" s="2295" t="s">
        <v>88</v>
      </c>
      <c r="T39" s="2231" t="s">
        <v>425</v>
      </c>
      <c r="U39" s="340"/>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634">
        <v>14</v>
      </c>
    </row>
    <row customHeight="1" ht="35.699999999999996">
      <c r="Q40" s="379"/>
      <c r="R40" s="379"/>
      <c r="S40" s="2295"/>
      <c r="T40" s="2231"/>
      <c r="U40" s="1034"/>
      <c r="V40" s="2282" t="s">
        <v>430</v>
      </c>
      <c r="W40" s="2305" t="s">
        <v>431</v>
      </c>
      <c r="X40" s="2284" t="s">
        <v>432</v>
      </c>
      <c r="Y40" s="2285"/>
      <c r="Z40" s="2284" t="s">
        <v>446</v>
      </c>
      <c r="AA40" s="2291"/>
      <c r="AB40" s="2285"/>
      <c r="AC40" s="2300"/>
      <c r="AD40" s="2282" t="s">
        <v>430</v>
      </c>
      <c r="AE40" s="2305" t="s">
        <v>431</v>
      </c>
      <c r="AF40" s="2284" t="s">
        <v>432</v>
      </c>
      <c r="AG40" s="2285"/>
      <c r="AH40" s="2284" t="s">
        <v>433</v>
      </c>
      <c r="AI40" s="2291"/>
      <c r="AJ40" s="2285"/>
      <c r="AK40" s="2300"/>
      <c r="AL40" s="2303"/>
      <c r="AM40" s="2149"/>
      <c r="AS40" s="1634">
        <v>34</v>
      </c>
    </row>
    <row customHeight="1" ht="35.699999999999996">
      <c r="A41" s="1269"/>
      <c r="B41" s="1269" t="s">
        <v>138</v>
      </c>
      <c r="C41" s="1269" t="s">
        <v>139</v>
      </c>
      <c r="D41" s="1269" t="s">
        <v>140</v>
      </c>
      <c r="E41" s="1313" t="s">
        <v>434</v>
      </c>
      <c r="F41" s="1313" t="s">
        <v>435</v>
      </c>
      <c r="G41" s="1313" t="s">
        <v>436</v>
      </c>
      <c r="H41" s="1313" t="s">
        <v>437</v>
      </c>
      <c r="I41" s="1313" t="s">
        <v>438</v>
      </c>
      <c r="J41" s="1313" t="s">
        <v>439</v>
      </c>
      <c r="K41" s="1313" t="s">
        <v>440</v>
      </c>
      <c r="L41" s="1313" t="s">
        <v>419</v>
      </c>
      <c r="Q41" s="379"/>
      <c r="R41" s="379"/>
      <c r="S41" s="2295"/>
      <c r="T41" s="2231"/>
      <c r="U41" s="305"/>
      <c r="V41" s="2283"/>
      <c r="W41" s="2306"/>
      <c r="X41" s="1938" t="s">
        <v>441</v>
      </c>
      <c r="Y41" s="1938" t="s">
        <v>442</v>
      </c>
      <c r="Z41" s="1938" t="s">
        <v>443</v>
      </c>
      <c r="AA41" s="2292" t="s">
        <v>444</v>
      </c>
      <c r="AB41" s="2293"/>
      <c r="AC41" s="2301"/>
      <c r="AD41" s="2283"/>
      <c r="AE41" s="2306"/>
      <c r="AF41" s="1938" t="s">
        <v>441</v>
      </c>
      <c r="AG41" s="1938" t="s">
        <v>442</v>
      </c>
      <c r="AH41" s="1938" t="s">
        <v>443</v>
      </c>
      <c r="AI41" s="2292" t="s">
        <v>444</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99</v>
      </c>
      <c r="T42" s="1258" t="s">
        <v>109</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213</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126</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213</v>
      </c>
      <c r="B44" s="1270" t="s">
        <v>214</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398</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399</v>
      </c>
      <c r="AO44" s="1627"/>
      <c r="AP44" s="1627" t="str">
        <f>IF(T44="","",T44)</f>
        <v>Территория действия тарифа</v>
      </c>
      <c r="AQ44" s="1627"/>
      <c r="AR44" s="1627"/>
      <c r="AS44" s="1634">
        <v>21</v>
      </c>
    </row>
    <row customHeight="1" ht="24">
      <c r="A45" s="1270" t="s">
        <v>213</v>
      </c>
      <c r="B45" s="1270" t="s">
        <v>214</v>
      </c>
      <c r="C45" s="1270" t="s">
        <v>215</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400</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401</v>
      </c>
      <c r="AO45" s="1627"/>
      <c r="AP45" s="1627" t="str">
        <f>IF(T45="","",T45)</f>
        <v>Наименование системы теплоснабжения </v>
      </c>
      <c r="AQ45" s="1627"/>
      <c r="AR45" s="1627"/>
      <c r="AS45" s="1634">
        <v>23</v>
      </c>
    </row>
    <row customHeight="1" ht="22.049999999999997">
      <c r="A46" s="1270" t="s">
        <v>213</v>
      </c>
      <c r="B46" s="1270" t="s">
        <v>214</v>
      </c>
      <c r="C46" s="1270" t="s">
        <v>215</v>
      </c>
      <c r="D46" s="1270" t="s">
        <v>216</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402</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403</v>
      </c>
      <c r="AO46" s="1627"/>
      <c r="AP46" s="1627" t="str">
        <f>IF(T46="","",T46)</f>
        <v>Источник тепловой энергии  </v>
      </c>
      <c r="AQ46" s="1627"/>
      <c r="AR46" s="1627"/>
      <c r="AS46" s="1634">
        <v>21</v>
      </c>
    </row>
    <row customHeight="1" ht="49.5">
      <c r="A47" s="1270" t="s">
        <v>213</v>
      </c>
      <c r="B47" s="1270" t="s">
        <v>214</v>
      </c>
      <c r="C47" s="1270" t="s">
        <v>215</v>
      </c>
      <c r="D47" s="1270" t="s">
        <v>216</v>
      </c>
      <c r="E47" s="2312"/>
      <c r="F47" s="2312"/>
      <c r="G47" s="2312"/>
      <c r="H47" s="2312"/>
      <c r="I47" s="2149" t="str">
        <f>S46&amp;".1"</f>
        <v>....1</v>
      </c>
      <c r="J47" s="1270"/>
      <c r="K47" s="1270"/>
      <c r="L47" s="1313" t="s">
        <v>404</v>
      </c>
      <c r="P47" s="2279">
        <v>1</v>
      </c>
      <c r="Q47" s="1954"/>
      <c r="R47" s="359"/>
      <c r="S47" s="1958" t="str">
        <f>$I47</f>
        <v>....1</v>
      </c>
      <c r="T47" s="288" t="s">
        <v>405</v>
      </c>
      <c r="U47" s="303"/>
      <c r="V47" s="2267"/>
      <c r="W47" s="2268"/>
      <c r="X47" s="2268"/>
      <c r="Y47" s="2268"/>
      <c r="Z47" s="2268"/>
      <c r="AA47" s="2268"/>
      <c r="AB47" s="2268"/>
      <c r="AC47" s="2269"/>
      <c r="AD47" s="2267"/>
      <c r="AE47" s="2268"/>
      <c r="AF47" s="2268"/>
      <c r="AG47" s="2268"/>
      <c r="AH47" s="2268"/>
      <c r="AI47" s="2268"/>
      <c r="AJ47" s="2268"/>
      <c r="AK47" s="2268"/>
      <c r="AL47" s="2269"/>
      <c r="AM47" s="1261" t="s">
        <v>406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213</v>
      </c>
      <c r="B48" s="1270" t="s">
        <v>214</v>
      </c>
      <c r="C48" s="1270" t="s">
        <v>215</v>
      </c>
      <c r="D48" s="1270" t="s">
        <v>216</v>
      </c>
      <c r="E48" s="2312"/>
      <c r="F48" s="2312"/>
      <c r="G48" s="2312"/>
      <c r="H48" s="2312"/>
      <c r="I48" s="2123"/>
      <c r="J48" s="2149" t="str">
        <f>I47&amp;".1"</f>
        <v>....1.1</v>
      </c>
      <c r="K48" s="1270"/>
      <c r="L48" s="1313" t="s">
        <v>407</v>
      </c>
      <c r="P48" s="2279"/>
      <c r="Q48" s="2279">
        <v>1</v>
      </c>
      <c r="R48" s="360"/>
      <c r="S48" s="1958" t="str">
        <f>$J48</f>
        <v>....1.1</v>
      </c>
      <c r="T48" s="289" t="s">
        <v>408</v>
      </c>
      <c r="U48" s="303"/>
      <c r="V48" s="2267"/>
      <c r="W48" s="2268"/>
      <c r="X48" s="2268"/>
      <c r="Y48" s="2268"/>
      <c r="Z48" s="2268"/>
      <c r="AA48" s="2268"/>
      <c r="AB48" s="2268"/>
      <c r="AC48" s="2269"/>
      <c r="AD48" s="2267"/>
      <c r="AE48" s="2268"/>
      <c r="AF48" s="2268"/>
      <c r="AG48" s="2268"/>
      <c r="AH48" s="2268"/>
      <c r="AI48" s="2268"/>
      <c r="AJ48" s="2268"/>
      <c r="AK48" s="2268"/>
      <c r="AL48" s="2269"/>
      <c r="AM48" s="1261" t="s">
        <v>409</v>
      </c>
      <c r="AO48" s="1627"/>
      <c r="AP48" s="1627" t="str">
        <f>IF(T48="","",T48)</f>
        <v>Группа потребителей</v>
      </c>
      <c r="AQ48" s="1627"/>
      <c r="AR48" s="1627"/>
      <c r="AS48" s="1634">
        <v>21</v>
      </c>
    </row>
    <row customHeight="1" ht="22.049999999999997">
      <c r="A49" s="1270" t="s">
        <v>213</v>
      </c>
      <c r="B49" s="1270" t="s">
        <v>214</v>
      </c>
      <c r="C49" s="1270" t="s">
        <v>215</v>
      </c>
      <c r="D49" s="1270" t="s">
        <v>216</v>
      </c>
      <c r="E49" s="2312"/>
      <c r="F49" s="2312"/>
      <c r="G49" s="2312"/>
      <c r="H49" s="2312"/>
      <c r="I49" s="2123"/>
      <c r="J49" s="2123"/>
      <c r="K49" s="2149" t="str">
        <f>J48&amp;".1"</f>
        <v>....1.1.1</v>
      </c>
      <c r="L49" s="1313" t="s">
        <v>410</v>
      </c>
      <c r="P49" s="2279"/>
      <c r="Q49" s="2279"/>
      <c r="R49" s="360">
        <v>1</v>
      </c>
      <c r="S49" s="1958" t="str">
        <f>$K49</f>
        <v>....1.1.1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411</v>
      </c>
      <c r="AN49" s="1639">
        <f>STRCHECKDATE(V50:AL50)</f>
      </c>
      <c r="AO49" s="1627"/>
      <c r="AP49" s="1627" t="str">
        <f>IF(T49="","",T49)</f>
        <v/>
      </c>
      <c r="AQ49" s="1627"/>
      <c r="AR49" s="1627"/>
      <c r="AS49" s="1634">
        <v>21</v>
      </c>
    </row>
    <row customHeight="1" ht="1.05">
      <c r="A50" s="1270" t="s">
        <v>213</v>
      </c>
      <c r="B50" s="1270" t="s">
        <v>214</v>
      </c>
      <c r="C50" s="1270" t="s">
        <v>215</v>
      </c>
      <c r="D50" s="1270" t="s">
        <v>216</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213</v>
      </c>
      <c r="B51" s="1270" t="s">
        <v>214</v>
      </c>
      <c r="C51" s="1270" t="s">
        <v>215</v>
      </c>
      <c r="D51" s="1270" t="s">
        <v>216</v>
      </c>
      <c r="E51" s="2312"/>
      <c r="F51" s="2312"/>
      <c r="G51" s="2312"/>
      <c r="H51" s="2312"/>
      <c r="I51" s="2123"/>
      <c r="J51" s="2149"/>
      <c r="K51" s="1270"/>
      <c r="L51" s="1313"/>
      <c r="P51" s="2279"/>
      <c r="Q51" s="2279"/>
      <c r="R51" s="359"/>
      <c r="S51" s="1281"/>
      <c r="T51" s="291" t="s">
        <v>412</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213</v>
      </c>
      <c r="B52" s="1270" t="s">
        <v>214</v>
      </c>
      <c r="C52" s="1270" t="s">
        <v>215</v>
      </c>
      <c r="D52" s="1270" t="s">
        <v>216</v>
      </c>
      <c r="E52" s="2312"/>
      <c r="F52" s="2312"/>
      <c r="G52" s="2312"/>
      <c r="H52" s="2312"/>
      <c r="I52" s="2149"/>
      <c r="J52" s="1270"/>
      <c r="K52" s="1270"/>
      <c r="L52" s="1313"/>
      <c r="P52" s="2279"/>
      <c r="Q52" s="1954"/>
      <c r="R52" s="359"/>
      <c r="S52" s="1281"/>
      <c r="T52" s="290" t="s">
        <v>413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213</v>
      </c>
      <c r="B53" s="1270" t="s">
        <v>214</v>
      </c>
      <c r="C53" s="1270" t="s">
        <v>215</v>
      </c>
      <c r="D53" s="1270" t="s">
        <v>216</v>
      </c>
      <c r="E53" s="2312"/>
      <c r="F53" s="2312"/>
      <c r="G53" s="2312"/>
      <c r="H53" s="2311"/>
      <c r="I53" s="1270"/>
      <c r="J53" s="1270"/>
      <c r="K53" s="1270"/>
      <c r="L53" s="1313"/>
      <c r="M53" s="1613"/>
      <c r="N53" s="1613"/>
      <c r="O53" s="1638"/>
      <c r="P53" s="363"/>
      <c r="Q53" s="378"/>
      <c r="R53" s="358"/>
      <c r="S53" s="1281"/>
      <c r="T53" s="368" t="s">
        <v>414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213</v>
      </c>
      <c r="B54" s="1270" t="s">
        <v>214</v>
      </c>
      <c r="C54" s="1270" t="s">
        <v>215</v>
      </c>
      <c r="D54" s="1974"/>
      <c r="E54" s="2312"/>
      <c r="F54" s="2312"/>
      <c r="G54" s="2311"/>
      <c r="H54" s="1974"/>
      <c r="I54" s="1974"/>
      <c r="J54" s="1974"/>
      <c r="K54" s="1974"/>
      <c r="L54" s="1383"/>
      <c r="M54" s="1613"/>
      <c r="N54" s="1613"/>
      <c r="O54" s="163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213</v>
      </c>
      <c r="B55" s="1270" t="s">
        <v>214</v>
      </c>
      <c r="C55" s="1974"/>
      <c r="D55" s="1974"/>
      <c r="E55" s="2312"/>
      <c r="F55" s="2311"/>
      <c r="G55" s="1974"/>
      <c r="H55" s="1974"/>
      <c r="I55" s="1974"/>
      <c r="J55" s="1974"/>
      <c r="K55" s="1974"/>
      <c r="L55" s="1383"/>
      <c r="M55" s="1975"/>
      <c r="N55" s="1975"/>
      <c r="O55" s="1638"/>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213</v>
      </c>
      <c r="B56" s="1270"/>
      <c r="C56" s="1270"/>
      <c r="D56" s="1270"/>
      <c r="E56" s="2311"/>
      <c r="F56" s="1270"/>
      <c r="G56" s="1270"/>
      <c r="H56" s="1270"/>
      <c r="I56" s="1270"/>
      <c r="J56" s="1270"/>
      <c r="K56" s="1270"/>
      <c r="L56" s="1313"/>
      <c r="M56" s="1975"/>
      <c r="N56" s="1975"/>
      <c r="O56" s="1638"/>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2D824-75A7-3B74-5A7A-0.97C47A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397</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398</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399</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400</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401</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402</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403</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404</v>
      </c>
      <c r="M6" s="540"/>
      <c r="P6" s="2279">
        <v>1</v>
      </c>
      <c r="Q6" s="1334"/>
      <c r="R6" s="359"/>
      <c r="S6" s="1339">
        <f>$I6</f>
      </c>
      <c r="T6" s="288" t="s">
        <v>405</v>
      </c>
      <c r="U6" s="303"/>
      <c r="V6" s="2267"/>
      <c r="W6" s="2268"/>
      <c r="X6" s="2268"/>
      <c r="Y6" s="2268"/>
      <c r="Z6" s="2268"/>
      <c r="AA6" s="2268"/>
      <c r="AB6" s="2268"/>
      <c r="AC6" s="2269"/>
      <c r="AD6" s="2267"/>
      <c r="AE6" s="2268"/>
      <c r="AF6" s="2268"/>
      <c r="AG6" s="2268"/>
      <c r="AH6" s="2268"/>
      <c r="AI6" s="2268"/>
      <c r="AJ6" s="2268"/>
      <c r="AK6" s="2268"/>
      <c r="AL6" s="2269"/>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407</v>
      </c>
      <c r="M7" s="540"/>
      <c r="N7" s="1369"/>
      <c r="P7" s="2279"/>
      <c r="Q7" s="2279">
        <v>1</v>
      </c>
      <c r="R7" s="360"/>
      <c r="S7" s="1339">
        <f>$J7</f>
      </c>
      <c r="T7" s="289" t="s">
        <v>408</v>
      </c>
      <c r="U7" s="303"/>
      <c r="V7" s="2267"/>
      <c r="W7" s="2268"/>
      <c r="X7" s="2268"/>
      <c r="Y7" s="2268"/>
      <c r="Z7" s="2268"/>
      <c r="AA7" s="2268"/>
      <c r="AB7" s="2268"/>
      <c r="AC7" s="2269"/>
      <c r="AD7" s="2267"/>
      <c r="AE7" s="2268"/>
      <c r="AF7" s="2268"/>
      <c r="AG7" s="2268"/>
      <c r="AH7" s="2268"/>
      <c r="AI7" s="2268"/>
      <c r="AJ7" s="2268"/>
      <c r="AK7" s="2268"/>
      <c r="AL7" s="2269"/>
      <c r="AM7" s="1261" t="s">
        <v>409</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410</v>
      </c>
      <c r="M8" s="540"/>
      <c r="N8" s="1369"/>
      <c r="O8" s="1369"/>
      <c r="P8" s="2279"/>
      <c r="Q8" s="2279"/>
      <c r="R8" s="360">
        <v>1</v>
      </c>
      <c r="S8" s="1339">
        <f>$K8</f>
      </c>
      <c r="T8" s="1350"/>
      <c r="U8" s="303"/>
      <c r="V8" s="328"/>
      <c r="W8" s="754"/>
      <c r="X8" s="328"/>
      <c r="Y8" s="387"/>
      <c r="Z8" s="2287"/>
      <c r="AA8" s="2129" t="s">
        <v>62</v>
      </c>
      <c r="AB8" s="2287"/>
      <c r="AC8" s="2129" t="s">
        <v>62</v>
      </c>
      <c r="AD8" s="328"/>
      <c r="AE8" s="754"/>
      <c r="AF8" s="328"/>
      <c r="AG8" s="387"/>
      <c r="AH8" s="2287"/>
      <c r="AI8" s="2129" t="s">
        <v>62</v>
      </c>
      <c r="AJ8" s="2287"/>
      <c r="AK8" s="2129" t="s">
        <v>62</v>
      </c>
      <c r="AL8" s="328"/>
      <c r="AM8" s="2275" t="s">
        <v>411</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АО "Водоканал"</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301</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302</v>
      </c>
      <c r="AS38" s="1158">
        <v>14</v>
      </c>
    </row>
    <row customHeight="1" ht="14.699999999999998">
      <c r="Q39" s="379"/>
      <c r="R39" s="379"/>
      <c r="S39" s="2295" t="s">
        <v>88</v>
      </c>
      <c r="T39" s="2231" t="s">
        <v>425</v>
      </c>
      <c r="U39" s="304"/>
      <c r="V39" s="2296" t="s">
        <v>426</v>
      </c>
      <c r="W39" s="2297"/>
      <c r="X39" s="2313"/>
      <c r="Y39" s="2313"/>
      <c r="Z39" s="2297"/>
      <c r="AA39" s="2297"/>
      <c r="AB39" s="2298"/>
      <c r="AC39" s="2299" t="s">
        <v>427</v>
      </c>
      <c r="AD39" s="2296" t="s">
        <v>426</v>
      </c>
      <c r="AE39" s="2297"/>
      <c r="AF39" s="2313"/>
      <c r="AG39" s="2313"/>
      <c r="AH39" s="2297"/>
      <c r="AI39" s="2297"/>
      <c r="AJ39" s="2298"/>
      <c r="AK39" s="2299" t="s">
        <v>428</v>
      </c>
      <c r="AL39" s="2302" t="s">
        <v>429</v>
      </c>
      <c r="AM39" s="2149"/>
      <c r="AS39" s="1158">
        <v>14</v>
      </c>
    </row>
    <row customHeight="1" ht="24">
      <c r="Q40" s="379"/>
      <c r="R40" s="379"/>
      <c r="S40" s="2295"/>
      <c r="T40" s="2231"/>
      <c r="U40" s="1034"/>
      <c r="V40" s="2314" t="s">
        <v>430</v>
      </c>
      <c r="W40" s="2316" t="s">
        <v>431</v>
      </c>
      <c r="X40" s="1379" t="s">
        <v>432</v>
      </c>
      <c r="Y40" s="1379"/>
      <c r="Z40" s="2291" t="s">
        <v>433</v>
      </c>
      <c r="AA40" s="2291"/>
      <c r="AB40" s="2285"/>
      <c r="AC40" s="2300"/>
      <c r="AD40" s="2314" t="s">
        <v>430</v>
      </c>
      <c r="AE40" s="2316" t="s">
        <v>431</v>
      </c>
      <c r="AF40" s="1379" t="s">
        <v>432</v>
      </c>
      <c r="AG40" s="1379"/>
      <c r="AH40" s="2291" t="s">
        <v>433</v>
      </c>
      <c r="AI40" s="2291"/>
      <c r="AJ40" s="2285"/>
      <c r="AK40" s="2300"/>
      <c r="AL40" s="2303"/>
      <c r="AM40" s="2149"/>
      <c r="AS40" s="1158">
        <v>23</v>
      </c>
    </row>
    <row s="1269" customFormat="1" customHeight="1" ht="24">
      <c r="A41" s="1373"/>
      <c r="B41" s="1373" t="s">
        <v>138</v>
      </c>
      <c r="C41" s="1373" t="s">
        <v>139</v>
      </c>
      <c r="D41" s="1373" t="s">
        <v>140</v>
      </c>
      <c r="E41" s="1367" t="s">
        <v>434</v>
      </c>
      <c r="F41" s="1367" t="s">
        <v>435</v>
      </c>
      <c r="G41" s="1367" t="s">
        <v>436</v>
      </c>
      <c r="H41" s="1367" t="s">
        <v>437</v>
      </c>
      <c r="I41" s="1367" t="s">
        <v>438</v>
      </c>
      <c r="J41" s="1367" t="s">
        <v>439</v>
      </c>
      <c r="K41" s="1367" t="s">
        <v>440</v>
      </c>
      <c r="L41" s="1367" t="s">
        <v>419</v>
      </c>
      <c r="M41" s="1365"/>
      <c r="N41" s="1365"/>
      <c r="O41" s="1365"/>
      <c r="P41" s="1331"/>
      <c r="Q41" s="379"/>
      <c r="R41" s="379"/>
      <c r="S41" s="2295"/>
      <c r="T41" s="2231"/>
      <c r="U41" s="305"/>
      <c r="V41" s="2315"/>
      <c r="W41" s="2317"/>
      <c r="X41" s="1376" t="s">
        <v>441</v>
      </c>
      <c r="Y41" s="1376" t="s">
        <v>442</v>
      </c>
      <c r="Z41" s="1337" t="s">
        <v>443</v>
      </c>
      <c r="AA41" s="2292" t="s">
        <v>444</v>
      </c>
      <c r="AB41" s="2293"/>
      <c r="AC41" s="2301"/>
      <c r="AD41" s="2315"/>
      <c r="AE41" s="2317"/>
      <c r="AF41" s="1376" t="s">
        <v>441</v>
      </c>
      <c r="AG41" s="1376" t="s">
        <v>442</v>
      </c>
      <c r="AH41" s="1337" t="s">
        <v>443</v>
      </c>
      <c r="AI41" s="2292" t="s">
        <v>444</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99</v>
      </c>
      <c r="T42" s="1258" t="s">
        <v>109</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195</v>
      </c>
      <c r="B44" s="1366" t="s">
        <v>196</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399</v>
      </c>
      <c r="AO44" s="503"/>
      <c r="AP44" s="503" t="str">
        <f>IF(T44="","",T44)</f>
        <v>Территория действия тарифа</v>
      </c>
      <c r="AQ44" s="503"/>
      <c r="AR44" s="503"/>
      <c r="AS44" s="1158">
        <v>21</v>
      </c>
    </row>
    <row customHeight="1" ht="24">
      <c r="A45" s="1366" t="s">
        <v>195</v>
      </c>
      <c r="B45" s="1366" t="s">
        <v>196</v>
      </c>
      <c r="C45" s="1366" t="s">
        <v>197</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401</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402</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403</v>
      </c>
      <c r="AO46" s="503"/>
      <c r="AP46" s="503" t="str">
        <f>IF(T46="","",T46)</f>
        <v>Источник тепловой энергии  </v>
      </c>
      <c r="AQ46" s="503"/>
      <c r="AR46" s="503"/>
      <c r="AS46" s="1158">
        <v>21</v>
      </c>
    </row>
    <row customHeight="1" ht="49.5">
      <c r="A47" s="1366" t="s">
        <v>195</v>
      </c>
      <c r="B47" s="1366" t="s">
        <v>196</v>
      </c>
      <c r="C47" s="1366" t="s">
        <v>197</v>
      </c>
      <c r="D47" s="1366" t="s">
        <v>198</v>
      </c>
      <c r="E47" s="2281"/>
      <c r="F47" s="2281"/>
      <c r="G47" s="2281"/>
      <c r="H47" s="2281"/>
      <c r="I47" s="2278" t="str">
        <f>S46&amp;".1"</f>
        <v>....1</v>
      </c>
      <c r="J47" s="1366"/>
      <c r="K47" s="1366"/>
      <c r="L47" s="1367" t="s">
        <v>404</v>
      </c>
      <c r="P47" s="2279">
        <v>1</v>
      </c>
      <c r="Q47" s="1334"/>
      <c r="R47" s="359"/>
      <c r="S47" s="1339" t="str">
        <f>$I47</f>
        <v>....1</v>
      </c>
      <c r="T47" s="288" t="s">
        <v>405</v>
      </c>
      <c r="U47" s="303"/>
      <c r="V47" s="2267"/>
      <c r="W47" s="2268"/>
      <c r="X47" s="2268"/>
      <c r="Y47" s="2268"/>
      <c r="Z47" s="2268"/>
      <c r="AA47" s="2268"/>
      <c r="AB47" s="2268"/>
      <c r="AC47" s="2269"/>
      <c r="AD47" s="2267"/>
      <c r="AE47" s="2268"/>
      <c r="AF47" s="2268"/>
      <c r="AG47" s="2268"/>
      <c r="AH47" s="2268"/>
      <c r="AI47" s="2268"/>
      <c r="AJ47" s="2268"/>
      <c r="AK47" s="2268"/>
      <c r="AL47" s="2269"/>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195</v>
      </c>
      <c r="B48" s="1366" t="s">
        <v>196</v>
      </c>
      <c r="C48" s="1366" t="s">
        <v>197</v>
      </c>
      <c r="D48" s="1366" t="s">
        <v>198</v>
      </c>
      <c r="E48" s="2281"/>
      <c r="F48" s="2281"/>
      <c r="G48" s="2281"/>
      <c r="H48" s="2281"/>
      <c r="I48" s="2308"/>
      <c r="J48" s="2278" t="str">
        <f>I47&amp;".1"</f>
        <v>....1.1</v>
      </c>
      <c r="K48" s="1366"/>
      <c r="L48" s="1367" t="s">
        <v>407</v>
      </c>
      <c r="P48" s="2279"/>
      <c r="Q48" s="2279">
        <v>1</v>
      </c>
      <c r="R48" s="360"/>
      <c r="S48" s="1339" t="str">
        <f>$J48</f>
        <v>....1.1</v>
      </c>
      <c r="T48" s="289" t="s">
        <v>408</v>
      </c>
      <c r="U48" s="303"/>
      <c r="V48" s="2267"/>
      <c r="W48" s="2268"/>
      <c r="X48" s="2268"/>
      <c r="Y48" s="2268"/>
      <c r="Z48" s="2268"/>
      <c r="AA48" s="2268"/>
      <c r="AB48" s="2268"/>
      <c r="AC48" s="2269"/>
      <c r="AD48" s="2267"/>
      <c r="AE48" s="2268"/>
      <c r="AF48" s="2268"/>
      <c r="AG48" s="2268"/>
      <c r="AH48" s="2268"/>
      <c r="AI48" s="2268"/>
      <c r="AJ48" s="2268"/>
      <c r="AK48" s="2268"/>
      <c r="AL48" s="2269"/>
      <c r="AM48" s="1261" t="s">
        <v>409</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81"/>
      <c r="F49" s="2281"/>
      <c r="G49" s="2281"/>
      <c r="H49" s="2281"/>
      <c r="I49" s="2308"/>
      <c r="J49" s="2308"/>
      <c r="K49" s="2278" t="str">
        <f>J48&amp;".1"</f>
        <v>....1.1.1</v>
      </c>
      <c r="L49" s="1367" t="s">
        <v>410</v>
      </c>
      <c r="P49" s="2279"/>
      <c r="Q49" s="2279"/>
      <c r="R49" s="360">
        <v>1</v>
      </c>
      <c r="S49" s="1339" t="str">
        <f>$K49</f>
        <v>....1.1.1</v>
      </c>
      <c r="T49" s="1350"/>
      <c r="U49" s="303"/>
      <c r="V49" s="328"/>
      <c r="W49" s="754"/>
      <c r="X49" s="328"/>
      <c r="Y49" s="387"/>
      <c r="Z49" s="2287"/>
      <c r="AA49" s="2129" t="s">
        <v>62</v>
      </c>
      <c r="AB49" s="2287"/>
      <c r="AC49" s="2129" t="s">
        <v>62</v>
      </c>
      <c r="AD49" s="328"/>
      <c r="AE49" s="754"/>
      <c r="AF49" s="328"/>
      <c r="AG49" s="387"/>
      <c r="AH49" s="2287"/>
      <c r="AI49" s="2129" t="s">
        <v>62</v>
      </c>
      <c r="AJ49" s="2309"/>
      <c r="AK49" s="2129" t="s">
        <v>62</v>
      </c>
      <c r="AL49" s="1351"/>
      <c r="AM49" s="2275" t="s">
        <v>411</v>
      </c>
      <c r="AN49" s="514">
        <f>STRCHECKDATE(V50:AL50)</f>
      </c>
      <c r="AO49" s="503"/>
      <c r="AP49" s="503" t="str">
        <f>IF(T49="","",T49)</f>
        <v/>
      </c>
      <c r="AQ49" s="503"/>
      <c r="AR49" s="503"/>
      <c r="AS49" s="1158">
        <v>21</v>
      </c>
    </row>
    <row customHeight="1" ht="1.05">
      <c r="A50" s="1366" t="s">
        <v>195</v>
      </c>
      <c r="B50" s="1366" t="s">
        <v>196</v>
      </c>
      <c r="C50" s="1366" t="s">
        <v>197</v>
      </c>
      <c r="D50" s="1366" t="s">
        <v>198</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195</v>
      </c>
      <c r="B51" s="1366" t="s">
        <v>196</v>
      </c>
      <c r="C51" s="1366" t="s">
        <v>197</v>
      </c>
      <c r="D51" s="1366" t="s">
        <v>198</v>
      </c>
      <c r="E51" s="2281"/>
      <c r="F51" s="2281"/>
      <c r="G51" s="2281"/>
      <c r="H51" s="2281"/>
      <c r="I51" s="2308"/>
      <c r="J51" s="2278"/>
      <c r="K51" s="1366"/>
      <c r="L51" s="1367"/>
      <c r="P51" s="2279"/>
      <c r="Q51" s="2279"/>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81"/>
      <c r="F52" s="2281"/>
      <c r="G52" s="2281"/>
      <c r="H52" s="2281"/>
      <c r="I52" s="2278"/>
      <c r="J52" s="1366"/>
      <c r="K52" s="1366"/>
      <c r="L52" s="1367"/>
      <c r="P52" s="2279"/>
      <c r="Q52" s="1334"/>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195</v>
      </c>
      <c r="B53" s="1366" t="s">
        <v>196</v>
      </c>
      <c r="C53" s="1366" t="s">
        <v>197</v>
      </c>
      <c r="D53" s="1366" t="s">
        <v>198</v>
      </c>
      <c r="E53" s="2281"/>
      <c r="F53" s="2281"/>
      <c r="G53" s="2281"/>
      <c r="H53" s="2280"/>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195</v>
      </c>
      <c r="B54" s="1346" t="s">
        <v>196</v>
      </c>
      <c r="C54" s="1346" t="s">
        <v>197</v>
      </c>
      <c r="D54" s="1317"/>
      <c r="E54" s="2281"/>
      <c r="F54" s="2281"/>
      <c r="G54" s="2280"/>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195</v>
      </c>
      <c r="B55" s="1346" t="s">
        <v>196</v>
      </c>
      <c r="C55" s="1317"/>
      <c r="D55" s="1317"/>
      <c r="E55" s="2281"/>
      <c r="F55" s="2280"/>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195</v>
      </c>
      <c r="B56" s="1346"/>
      <c r="C56" s="1346"/>
      <c r="D56" s="1346"/>
      <c r="E56" s="2280"/>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86A6B-9919-E6FF-2C54-0.656F229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397</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398</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399</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400</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401</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402</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403</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404</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407</v>
      </c>
      <c r="M7" s="540"/>
      <c r="N7" s="1369"/>
      <c r="P7" s="2279"/>
      <c r="Q7" s="2279">
        <v>1</v>
      </c>
      <c r="R7" s="360"/>
      <c r="S7" s="1339">
        <f>$J7</f>
      </c>
      <c r="T7" s="289" t="s">
        <v>408</v>
      </c>
      <c r="U7" s="303"/>
      <c r="V7" s="2267"/>
      <c r="W7" s="2268"/>
      <c r="X7" s="2268"/>
      <c r="Y7" s="2268"/>
      <c r="Z7" s="2268"/>
      <c r="AA7" s="2268"/>
      <c r="AB7" s="2268"/>
      <c r="AC7" s="2269"/>
      <c r="AD7" s="2267"/>
      <c r="AE7" s="2268"/>
      <c r="AF7" s="2268"/>
      <c r="AG7" s="2268"/>
      <c r="AH7" s="2268"/>
      <c r="AI7" s="2268"/>
      <c r="AJ7" s="2268"/>
      <c r="AK7" s="2268"/>
      <c r="AL7" s="2269"/>
      <c r="AM7" s="1261" t="s">
        <v>409</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410</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411</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АО "Водоканал"</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301</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302</v>
      </c>
      <c r="AS38" s="1158">
        <v>14</v>
      </c>
    </row>
    <row customHeight="1" ht="14.699999999999998">
      <c r="Q39" s="379"/>
      <c r="R39" s="379"/>
      <c r="S39" s="2295" t="s">
        <v>88</v>
      </c>
      <c r="T39" s="2231" t="s">
        <v>425</v>
      </c>
      <c r="U39" s="304"/>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158">
        <v>14</v>
      </c>
    </row>
    <row customHeight="1" ht="35.699999999999996">
      <c r="Q40" s="379"/>
      <c r="R40" s="379"/>
      <c r="S40" s="2295"/>
      <c r="T40" s="2231"/>
      <c r="U40" s="1034"/>
      <c r="V40" s="2282" t="s">
        <v>447</v>
      </c>
      <c r="W40" s="2305"/>
      <c r="X40" s="2284" t="s">
        <v>432</v>
      </c>
      <c r="Y40" s="2285"/>
      <c r="Z40" s="2284" t="s">
        <v>433</v>
      </c>
      <c r="AA40" s="2291"/>
      <c r="AB40" s="2285"/>
      <c r="AC40" s="2300"/>
      <c r="AD40" s="2282" t="s">
        <v>447</v>
      </c>
      <c r="AE40" s="2305"/>
      <c r="AF40" s="2284" t="s">
        <v>432</v>
      </c>
      <c r="AG40" s="2285"/>
      <c r="AH40" s="2284" t="s">
        <v>433</v>
      </c>
      <c r="AI40" s="2291"/>
      <c r="AJ40" s="2285"/>
      <c r="AK40" s="2300"/>
      <c r="AL40" s="2303"/>
      <c r="AM40" s="2149"/>
      <c r="AS40" s="1158">
        <v>34</v>
      </c>
    </row>
    <row customHeight="1" ht="35.699999999999996">
      <c r="A41" s="1373"/>
      <c r="B41" s="1373" t="s">
        <v>138</v>
      </c>
      <c r="C41" s="1373" t="s">
        <v>139</v>
      </c>
      <c r="D41" s="1373" t="s">
        <v>140</v>
      </c>
      <c r="E41" s="1367" t="s">
        <v>434</v>
      </c>
      <c r="F41" s="1367" t="s">
        <v>435</v>
      </c>
      <c r="G41" s="1367" t="s">
        <v>436</v>
      </c>
      <c r="H41" s="1367" t="s">
        <v>437</v>
      </c>
      <c r="I41" s="1367" t="s">
        <v>438</v>
      </c>
      <c r="J41" s="1367" t="s">
        <v>439</v>
      </c>
      <c r="K41" s="1367" t="s">
        <v>440</v>
      </c>
      <c r="L41" s="1367" t="s">
        <v>419</v>
      </c>
      <c r="Q41" s="379"/>
      <c r="R41" s="379"/>
      <c r="S41" s="2295"/>
      <c r="T41" s="2231"/>
      <c r="U41" s="305"/>
      <c r="V41" s="2283"/>
      <c r="W41" s="2306"/>
      <c r="X41" s="1225" t="s">
        <v>441</v>
      </c>
      <c r="Y41" s="1225" t="s">
        <v>442</v>
      </c>
      <c r="Z41" s="1341" t="s">
        <v>443</v>
      </c>
      <c r="AA41" s="2292" t="s">
        <v>444</v>
      </c>
      <c r="AB41" s="2293"/>
      <c r="AC41" s="2301"/>
      <c r="AD41" s="2283"/>
      <c r="AE41" s="2306"/>
      <c r="AF41" s="1225" t="s">
        <v>441</v>
      </c>
      <c r="AG41" s="1225" t="s">
        <v>442</v>
      </c>
      <c r="AH41" s="1341" t="s">
        <v>443</v>
      </c>
      <c r="AI41" s="2292" t="s">
        <v>444</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99</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171</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171</v>
      </c>
      <c r="B44" s="1366" t="s">
        <v>172</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399</v>
      </c>
      <c r="AO44" s="503"/>
      <c r="AP44" s="503" t="str">
        <f>IF(T44="","",T44)</f>
        <v>Территория действия тарифа</v>
      </c>
      <c r="AQ44" s="503"/>
      <c r="AR44" s="503"/>
      <c r="AS44" s="1158">
        <v>21</v>
      </c>
    </row>
    <row customHeight="1" ht="24">
      <c r="A45" s="1366" t="s">
        <v>171</v>
      </c>
      <c r="B45" s="1366" t="s">
        <v>172</v>
      </c>
      <c r="C45" s="1366" t="s">
        <v>173</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401</v>
      </c>
      <c r="AO45" s="503"/>
      <c r="AP45" s="503" t="str">
        <f>IF(T45="","",T45)</f>
        <v>Наименование системы теплоснабжения </v>
      </c>
      <c r="AQ45" s="503"/>
      <c r="AR45" s="503"/>
      <c r="AS45" s="1158">
        <v>23</v>
      </c>
    </row>
    <row customHeight="1" ht="22.049999999999997">
      <c r="A46" s="1366" t="s">
        <v>171</v>
      </c>
      <c r="B46" s="1366" t="s">
        <v>172</v>
      </c>
      <c r="C46" s="1366" t="s">
        <v>173</v>
      </c>
      <c r="D46" s="1366" t="s">
        <v>174</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402</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403</v>
      </c>
      <c r="AO46" s="503"/>
      <c r="AP46" s="503" t="str">
        <f>IF(T46="","",T46)</f>
        <v>Источник тепловой энергии  </v>
      </c>
      <c r="AQ46" s="503"/>
      <c r="AR46" s="503"/>
      <c r="AS46" s="1158">
        <v>21</v>
      </c>
    </row>
    <row s="1645" customFormat="1" customHeight="1" ht="0">
      <c r="A47" s="1346" t="s">
        <v>171</v>
      </c>
      <c r="B47" s="1346" t="s">
        <v>172</v>
      </c>
      <c r="C47" s="1346" t="s">
        <v>173</v>
      </c>
      <c r="D47" s="1346" t="s">
        <v>174</v>
      </c>
      <c r="E47" s="2281"/>
      <c r="F47" s="2281"/>
      <c r="G47" s="2281"/>
      <c r="H47" s="2281"/>
      <c r="I47" s="2278" t="str">
        <f>S46&amp;".1"</f>
        <v>....1</v>
      </c>
      <c r="J47" s="1346"/>
      <c r="K47" s="1346"/>
      <c r="L47" s="1349" t="s">
        <v>404</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171</v>
      </c>
      <c r="B48" s="1366" t="s">
        <v>172</v>
      </c>
      <c r="C48" s="1366" t="s">
        <v>173</v>
      </c>
      <c r="D48" s="1366" t="s">
        <v>174</v>
      </c>
      <c r="E48" s="2281"/>
      <c r="F48" s="2281"/>
      <c r="G48" s="2281"/>
      <c r="H48" s="2281"/>
      <c r="I48" s="2308"/>
      <c r="J48" s="2278" t="str">
        <f>S46&amp;".1"</f>
        <v>....1</v>
      </c>
      <c r="K48" s="1366"/>
      <c r="L48" s="1367" t="s">
        <v>407</v>
      </c>
      <c r="P48" s="2279"/>
      <c r="Q48" s="2279">
        <v>1</v>
      </c>
      <c r="R48" s="360"/>
      <c r="S48" s="1339" t="str">
        <f>$J48</f>
        <v>....1</v>
      </c>
      <c r="T48" s="289" t="s">
        <v>408</v>
      </c>
      <c r="U48" s="303"/>
      <c r="V48" s="2267"/>
      <c r="W48" s="2268"/>
      <c r="X48" s="2268"/>
      <c r="Y48" s="2268"/>
      <c r="Z48" s="2268"/>
      <c r="AA48" s="2268"/>
      <c r="AB48" s="2268"/>
      <c r="AC48" s="2269"/>
      <c r="AD48" s="2267"/>
      <c r="AE48" s="2268"/>
      <c r="AF48" s="2268"/>
      <c r="AG48" s="2268"/>
      <c r="AH48" s="2268"/>
      <c r="AI48" s="2268"/>
      <c r="AJ48" s="2268"/>
      <c r="AK48" s="2268"/>
      <c r="AL48" s="2269"/>
      <c r="AM48" s="1261" t="s">
        <v>409</v>
      </c>
      <c r="AO48" s="503"/>
      <c r="AP48" s="503" t="str">
        <f>IF(T48="","",T48)</f>
        <v>Группа потребителей</v>
      </c>
      <c r="AQ48" s="503"/>
      <c r="AR48" s="503"/>
      <c r="AS48" s="1158">
        <v>21</v>
      </c>
    </row>
    <row customHeight="1" ht="22.049999999999997">
      <c r="A49" s="1366" t="s">
        <v>171</v>
      </c>
      <c r="B49" s="1366" t="s">
        <v>172</v>
      </c>
      <c r="C49" s="1366" t="s">
        <v>173</v>
      </c>
      <c r="D49" s="1366" t="s">
        <v>174</v>
      </c>
      <c r="E49" s="2281"/>
      <c r="F49" s="2281"/>
      <c r="G49" s="2281"/>
      <c r="H49" s="2281"/>
      <c r="I49" s="2308"/>
      <c r="J49" s="2308"/>
      <c r="K49" s="2278" t="str">
        <f>J48&amp;".1"</f>
        <v>....1.1</v>
      </c>
      <c r="L49" s="1367" t="s">
        <v>410</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448</v>
      </c>
      <c r="AN49" s="514">
        <f>STRCHECKDATE(V50:AL50)</f>
      </c>
      <c r="AO49" s="503"/>
      <c r="AP49" s="503" t="str">
        <f>IF(T49="","",T49)</f>
        <v/>
      </c>
      <c r="AQ49" s="503"/>
      <c r="AR49" s="503"/>
      <c r="AS49" s="1158">
        <v>21</v>
      </c>
    </row>
    <row customHeight="1" ht="1.05">
      <c r="A50" s="1366" t="s">
        <v>171</v>
      </c>
      <c r="B50" s="1366" t="s">
        <v>172</v>
      </c>
      <c r="C50" s="1366" t="s">
        <v>173</v>
      </c>
      <c r="D50" s="1366" t="s">
        <v>174</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171</v>
      </c>
      <c r="B51" s="1366" t="s">
        <v>172</v>
      </c>
      <c r="C51" s="1366" t="s">
        <v>173</v>
      </c>
      <c r="D51" s="1366" t="s">
        <v>174</v>
      </c>
      <c r="E51" s="2281"/>
      <c r="F51" s="2281"/>
      <c r="G51" s="2281"/>
      <c r="H51" s="2281"/>
      <c r="I51" s="2308"/>
      <c r="J51" s="2278"/>
      <c r="K51" s="1366"/>
      <c r="L51" s="1367"/>
      <c r="P51" s="2279"/>
      <c r="Q51" s="2279"/>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171</v>
      </c>
      <c r="B52" s="1366" t="s">
        <v>172</v>
      </c>
      <c r="C52" s="1366" t="s">
        <v>173</v>
      </c>
      <c r="D52" s="1366" t="s">
        <v>174</v>
      </c>
      <c r="E52" s="2281"/>
      <c r="F52" s="2281"/>
      <c r="G52" s="2281"/>
      <c r="H52" s="2281"/>
      <c r="I52" s="2278"/>
      <c r="J52" s="1366"/>
      <c r="K52" s="1366"/>
      <c r="L52" s="1367"/>
      <c r="P52" s="2279"/>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171</v>
      </c>
      <c r="B53" s="1366" t="s">
        <v>172</v>
      </c>
      <c r="C53" s="1366" t="s">
        <v>173</v>
      </c>
      <c r="D53" s="1366" t="s">
        <v>174</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171</v>
      </c>
      <c r="B54" s="1346" t="s">
        <v>172</v>
      </c>
      <c r="C54" s="1346" t="s">
        <v>173</v>
      </c>
      <c r="D54" s="1317"/>
      <c r="E54" s="2281"/>
      <c r="F54" s="2281"/>
      <c r="G54" s="2280"/>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171</v>
      </c>
      <c r="B55" s="1346" t="s">
        <v>172</v>
      </c>
      <c r="C55" s="1317"/>
      <c r="D55" s="1317"/>
      <c r="E55" s="2281"/>
      <c r="F55" s="2280"/>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171</v>
      </c>
      <c r="B56" s="1346"/>
      <c r="C56" s="1346"/>
      <c r="D56" s="1346"/>
      <c r="E56" s="2280"/>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58D2D-0362-18EB-8232-0.DFCE6E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397</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398</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399</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400</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401</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402</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403</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404</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407</v>
      </c>
      <c r="M7" s="540"/>
      <c r="N7" s="1369"/>
      <c r="P7" s="2279"/>
      <c r="Q7" s="2279">
        <v>1</v>
      </c>
      <c r="R7" s="1645"/>
      <c r="S7" s="2007">
        <f>$J7</f>
      </c>
      <c r="T7" s="289" t="s">
        <v>408</v>
      </c>
      <c r="U7" s="303"/>
      <c r="V7" s="2327"/>
      <c r="W7" s="2327"/>
      <c r="X7" s="2327"/>
      <c r="Y7" s="2327"/>
      <c r="Z7" s="2327"/>
      <c r="AA7" s="2327"/>
      <c r="AB7" s="2327"/>
      <c r="AC7" s="2327"/>
      <c r="AD7" s="2327"/>
      <c r="AE7" s="2327"/>
      <c r="AF7" s="2327"/>
      <c r="AG7" s="2327"/>
      <c r="AH7" s="2327"/>
      <c r="AI7" s="2327"/>
      <c r="AJ7" s="2327"/>
      <c r="AK7" s="2327"/>
      <c r="AL7" s="2327"/>
      <c r="AM7" s="2010" t="s">
        <v>409</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410</v>
      </c>
      <c r="M8" s="540"/>
      <c r="N8" s="1369"/>
      <c r="O8" s="1369"/>
      <c r="P8" s="2279"/>
      <c r="Q8" s="2279"/>
      <c r="R8" s="360">
        <v>1</v>
      </c>
      <c r="S8" s="2009">
        <f>$K8</f>
      </c>
      <c r="T8" s="2014"/>
      <c r="U8" s="2015"/>
      <c r="V8" s="2016"/>
      <c r="W8" s="1352"/>
      <c r="X8" s="2016"/>
      <c r="Y8" s="2017"/>
      <c r="Z8" s="2328"/>
      <c r="AA8" s="2134" t="s">
        <v>62</v>
      </c>
      <c r="AB8" s="2328"/>
      <c r="AC8" s="2134" t="s">
        <v>62</v>
      </c>
      <c r="AD8" s="2016"/>
      <c r="AE8" s="1352"/>
      <c r="AF8" s="2016"/>
      <c r="AG8" s="2017"/>
      <c r="AH8" s="2328"/>
      <c r="AI8" s="2134" t="s">
        <v>62</v>
      </c>
      <c r="AJ8" s="2328"/>
      <c r="AK8" s="2134" t="s">
        <v>62</v>
      </c>
      <c r="AL8" s="1352"/>
      <c r="AM8" s="2275" t="s">
        <v>411</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АО "Водоканал"</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301</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302</v>
      </c>
      <c r="AS38" s="1158">
        <v>14</v>
      </c>
    </row>
    <row customHeight="1" ht="14.699999999999998">
      <c r="Q39" s="379"/>
      <c r="R39" s="379"/>
      <c r="S39" s="2295" t="s">
        <v>88</v>
      </c>
      <c r="T39" s="2231" t="s">
        <v>425</v>
      </c>
      <c r="U39" s="304"/>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158">
        <v>14</v>
      </c>
    </row>
    <row customHeight="1" ht="35.699999999999996">
      <c r="Q40" s="379"/>
      <c r="R40" s="379"/>
      <c r="S40" s="2295"/>
      <c r="T40" s="2231"/>
      <c r="U40" s="1034"/>
      <c r="V40" s="2282" t="s">
        <v>430</v>
      </c>
      <c r="W40" s="2305"/>
      <c r="X40" s="2284" t="s">
        <v>432</v>
      </c>
      <c r="Y40" s="2285"/>
      <c r="Z40" s="2284" t="s">
        <v>433</v>
      </c>
      <c r="AA40" s="2291"/>
      <c r="AB40" s="2285"/>
      <c r="AC40" s="2300"/>
      <c r="AD40" s="2282" t="s">
        <v>430</v>
      </c>
      <c r="AE40" s="2305"/>
      <c r="AF40" s="2284" t="s">
        <v>432</v>
      </c>
      <c r="AG40" s="2285"/>
      <c r="AH40" s="2284" t="s">
        <v>433</v>
      </c>
      <c r="AI40" s="2291"/>
      <c r="AJ40" s="2285"/>
      <c r="AK40" s="2300"/>
      <c r="AL40" s="2303"/>
      <c r="AM40" s="2149"/>
      <c r="AS40" s="1158">
        <v>34</v>
      </c>
    </row>
    <row customHeight="1" ht="35.699999999999996">
      <c r="A41" s="1373"/>
      <c r="B41" s="1373" t="s">
        <v>138</v>
      </c>
      <c r="C41" s="1373" t="s">
        <v>139</v>
      </c>
      <c r="D41" s="1373" t="s">
        <v>140</v>
      </c>
      <c r="E41" s="1367" t="s">
        <v>434</v>
      </c>
      <c r="F41" s="1367" t="s">
        <v>435</v>
      </c>
      <c r="G41" s="1367" t="s">
        <v>436</v>
      </c>
      <c r="H41" s="1367" t="s">
        <v>437</v>
      </c>
      <c r="I41" s="1367" t="s">
        <v>438</v>
      </c>
      <c r="J41" s="1367" t="s">
        <v>439</v>
      </c>
      <c r="K41" s="1367" t="s">
        <v>440</v>
      </c>
      <c r="L41" s="1367" t="s">
        <v>419</v>
      </c>
      <c r="Q41" s="379"/>
      <c r="R41" s="379"/>
      <c r="S41" s="2295"/>
      <c r="T41" s="2231"/>
      <c r="U41" s="305"/>
      <c r="V41" s="2283"/>
      <c r="W41" s="2306"/>
      <c r="X41" s="1225" t="s">
        <v>441</v>
      </c>
      <c r="Y41" s="1225" t="s">
        <v>442</v>
      </c>
      <c r="Z41" s="1341" t="s">
        <v>443</v>
      </c>
      <c r="AA41" s="2292" t="s">
        <v>444</v>
      </c>
      <c r="AB41" s="2293"/>
      <c r="AC41" s="2301"/>
      <c r="AD41" s="2283"/>
      <c r="AE41" s="2306"/>
      <c r="AF41" s="1225" t="s">
        <v>441</v>
      </c>
      <c r="AG41" s="1225" t="s">
        <v>442</v>
      </c>
      <c r="AH41" s="1341" t="s">
        <v>443</v>
      </c>
      <c r="AI41" s="2292" t="s">
        <v>444</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99</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183</v>
      </c>
      <c r="B44" s="1366" t="s">
        <v>184</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399</v>
      </c>
      <c r="AO44" s="503"/>
      <c r="AP44" s="503" t="str">
        <f>IF(T44="","",T44)</f>
        <v>Территория действия тарифа</v>
      </c>
      <c r="AQ44" s="503"/>
      <c r="AR44" s="503"/>
      <c r="AS44" s="1158">
        <v>21</v>
      </c>
    </row>
    <row customHeight="1" ht="24">
      <c r="A45" s="1366" t="s">
        <v>183</v>
      </c>
      <c r="B45" s="1366" t="s">
        <v>184</v>
      </c>
      <c r="C45" s="1366" t="s">
        <v>185</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401</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402</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403</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81"/>
      <c r="F47" s="2281"/>
      <c r="G47" s="2281"/>
      <c r="H47" s="2281"/>
      <c r="I47" s="2278" t="str">
        <f>S46&amp;".1"</f>
        <v>....1</v>
      </c>
      <c r="J47" s="1346"/>
      <c r="K47" s="1346"/>
      <c r="L47" s="1349" t="s">
        <v>404</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183</v>
      </c>
      <c r="B48" s="1366" t="s">
        <v>184</v>
      </c>
      <c r="C48" s="1366" t="s">
        <v>185</v>
      </c>
      <c r="D48" s="1366" t="s">
        <v>186</v>
      </c>
      <c r="E48" s="2281"/>
      <c r="F48" s="2281"/>
      <c r="G48" s="2281"/>
      <c r="H48" s="2281"/>
      <c r="I48" s="2308"/>
      <c r="J48" s="2278" t="str">
        <f>S46&amp;".1"</f>
        <v>....1</v>
      </c>
      <c r="K48" s="1366"/>
      <c r="L48" s="1367" t="s">
        <v>407</v>
      </c>
      <c r="P48" s="2279"/>
      <c r="Q48" s="2279">
        <v>1</v>
      </c>
      <c r="R48" s="360"/>
      <c r="S48" s="1339" t="str">
        <f>$J48</f>
        <v>....1</v>
      </c>
      <c r="T48" s="289" t="s">
        <v>408</v>
      </c>
      <c r="U48" s="303"/>
      <c r="V48" s="2267"/>
      <c r="W48" s="2268"/>
      <c r="X48" s="2268"/>
      <c r="Y48" s="2268"/>
      <c r="Z48" s="2268"/>
      <c r="AA48" s="2268"/>
      <c r="AB48" s="2268"/>
      <c r="AC48" s="2269"/>
      <c r="AD48" s="2267"/>
      <c r="AE48" s="2268"/>
      <c r="AF48" s="2268"/>
      <c r="AG48" s="2268"/>
      <c r="AH48" s="2268"/>
      <c r="AI48" s="2268"/>
      <c r="AJ48" s="2268"/>
      <c r="AK48" s="2268"/>
      <c r="AL48" s="2269"/>
      <c r="AM48" s="1261" t="s">
        <v>409</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81"/>
      <c r="F49" s="2281"/>
      <c r="G49" s="2281"/>
      <c r="H49" s="2281"/>
      <c r="I49" s="2308"/>
      <c r="J49" s="2308"/>
      <c r="K49" s="2278" t="str">
        <f>J48&amp;".1"</f>
        <v>....1.1</v>
      </c>
      <c r="L49" s="1367" t="s">
        <v>410</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448</v>
      </c>
      <c r="AN49" s="514">
        <f>STRCHECKDATE(V50:AL50)</f>
      </c>
      <c r="AO49" s="503"/>
      <c r="AP49" s="503" t="str">
        <f>IF(T49="","",T49)</f>
        <v/>
      </c>
      <c r="AQ49" s="503"/>
      <c r="AR49" s="503"/>
      <c r="AS49" s="1158">
        <v>21</v>
      </c>
    </row>
    <row customHeight="1" ht="1.05">
      <c r="A50" s="1366" t="s">
        <v>183</v>
      </c>
      <c r="B50" s="1366" t="s">
        <v>184</v>
      </c>
      <c r="C50" s="1366" t="s">
        <v>185</v>
      </c>
      <c r="D50" s="1366" t="s">
        <v>186</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183</v>
      </c>
      <c r="B51" s="1366" t="s">
        <v>184</v>
      </c>
      <c r="C51" s="1366" t="s">
        <v>185</v>
      </c>
      <c r="D51" s="1366" t="s">
        <v>186</v>
      </c>
      <c r="E51" s="2281"/>
      <c r="F51" s="2281"/>
      <c r="G51" s="2281"/>
      <c r="H51" s="2281"/>
      <c r="I51" s="2308"/>
      <c r="J51" s="2278"/>
      <c r="K51" s="1366"/>
      <c r="L51" s="1367"/>
      <c r="P51" s="2279"/>
      <c r="Q51" s="2279"/>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81"/>
      <c r="F52" s="2281"/>
      <c r="G52" s="2281"/>
      <c r="H52" s="2281"/>
      <c r="I52" s="2278"/>
      <c r="J52" s="1366"/>
      <c r="K52" s="1366"/>
      <c r="L52" s="1367"/>
      <c r="P52" s="2279"/>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183</v>
      </c>
      <c r="B54" s="1346" t="s">
        <v>184</v>
      </c>
      <c r="C54" s="1346" t="s">
        <v>185</v>
      </c>
      <c r="D54" s="1317"/>
      <c r="E54" s="2281"/>
      <c r="F54" s="2281"/>
      <c r="G54" s="2280"/>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183</v>
      </c>
      <c r="B55" s="1346" t="s">
        <v>184</v>
      </c>
      <c r="C55" s="1317"/>
      <c r="D55" s="1317"/>
      <c r="E55" s="2281"/>
      <c r="F55" s="2280"/>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183</v>
      </c>
      <c r="B56" s="1346"/>
      <c r="C56" s="1346"/>
      <c r="D56" s="1346"/>
      <c r="E56" s="2280"/>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A816B-7E8A-90DD-BF61-0.B4575ED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397</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398</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399</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400</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401</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402</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403</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404</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407</v>
      </c>
      <c r="M7" s="540"/>
      <c r="N7" s="1369"/>
      <c r="P7" s="2279"/>
      <c r="Q7" s="2279">
        <v>1</v>
      </c>
      <c r="R7" s="360"/>
      <c r="S7" s="1339">
        <f>$J7</f>
      </c>
      <c r="T7" s="289" t="s">
        <v>408</v>
      </c>
      <c r="U7" s="303"/>
      <c r="V7" s="2267"/>
      <c r="W7" s="2268"/>
      <c r="X7" s="2268"/>
      <c r="Y7" s="2268"/>
      <c r="Z7" s="2268"/>
      <c r="AA7" s="2268"/>
      <c r="AB7" s="2268"/>
      <c r="AC7" s="2269"/>
      <c r="AD7" s="2267"/>
      <c r="AE7" s="2268"/>
      <c r="AF7" s="2268"/>
      <c r="AG7" s="2268"/>
      <c r="AH7" s="2268"/>
      <c r="AI7" s="2268"/>
      <c r="AJ7" s="2268"/>
      <c r="AK7" s="2268"/>
      <c r="AL7" s="2269"/>
      <c r="AM7" s="1261" t="s">
        <v>409</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410</v>
      </c>
      <c r="M8" s="540"/>
      <c r="N8" s="1369"/>
      <c r="O8" s="1369"/>
      <c r="P8" s="2279"/>
      <c r="Q8" s="2279"/>
      <c r="R8" s="360">
        <v>1</v>
      </c>
      <c r="S8" s="1339">
        <f>$K8</f>
      </c>
      <c r="T8" s="1350"/>
      <c r="U8" s="303"/>
      <c r="V8" s="754"/>
      <c r="W8" s="328"/>
      <c r="X8" s="754"/>
      <c r="Y8" s="1260"/>
      <c r="Z8" s="2287"/>
      <c r="AA8" s="2129" t="s">
        <v>62</v>
      </c>
      <c r="AB8" s="2287"/>
      <c r="AC8" s="2129" t="s">
        <v>62</v>
      </c>
      <c r="AD8" s="754"/>
      <c r="AE8" s="328"/>
      <c r="AF8" s="754"/>
      <c r="AG8" s="1260"/>
      <c r="AH8" s="2287"/>
      <c r="AI8" s="2129" t="s">
        <v>62</v>
      </c>
      <c r="AJ8" s="2287"/>
      <c r="AK8" s="2129" t="s">
        <v>62</v>
      </c>
      <c r="AL8" s="328"/>
      <c r="AM8" s="2275" t="s">
        <v>411</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62</v>
      </c>
      <c r="AJ17" s="2289"/>
      <c r="AK17" s="2290" t="s">
        <v>62</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АО "Водоканал"</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301</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302</v>
      </c>
      <c r="AS38" s="1158">
        <v>14</v>
      </c>
    </row>
    <row customHeight="1" ht="14.699999999999998">
      <c r="Q39" s="379"/>
      <c r="R39" s="379"/>
      <c r="S39" s="2295" t="s">
        <v>88</v>
      </c>
      <c r="T39" s="2231" t="s">
        <v>425</v>
      </c>
      <c r="U39" s="304"/>
      <c r="V39" s="2296" t="s">
        <v>426</v>
      </c>
      <c r="W39" s="2297"/>
      <c r="X39" s="2297"/>
      <c r="Y39" s="2297"/>
      <c r="Z39" s="2297"/>
      <c r="AA39" s="2297"/>
      <c r="AB39" s="2298"/>
      <c r="AC39" s="2299" t="s">
        <v>427</v>
      </c>
      <c r="AD39" s="2296" t="s">
        <v>426</v>
      </c>
      <c r="AE39" s="2297"/>
      <c r="AF39" s="2297"/>
      <c r="AG39" s="2297"/>
      <c r="AH39" s="2297"/>
      <c r="AI39" s="2297"/>
      <c r="AJ39" s="2298"/>
      <c r="AK39" s="2299" t="s">
        <v>428</v>
      </c>
      <c r="AL39" s="2302" t="s">
        <v>429</v>
      </c>
      <c r="AM39" s="2149"/>
      <c r="AS39" s="1158">
        <v>14</v>
      </c>
    </row>
    <row customHeight="1" ht="35.699999999999996">
      <c r="Q40" s="379"/>
      <c r="R40" s="379"/>
      <c r="S40" s="2295"/>
      <c r="T40" s="2231"/>
      <c r="U40" s="1034"/>
      <c r="V40" s="2282" t="s">
        <v>430</v>
      </c>
      <c r="W40" s="2305"/>
      <c r="X40" s="2284" t="s">
        <v>432</v>
      </c>
      <c r="Y40" s="2285"/>
      <c r="Z40" s="2284" t="s">
        <v>433</v>
      </c>
      <c r="AA40" s="2291"/>
      <c r="AB40" s="2285"/>
      <c r="AC40" s="2300"/>
      <c r="AD40" s="2282" t="s">
        <v>447</v>
      </c>
      <c r="AE40" s="2305"/>
      <c r="AF40" s="2284" t="s">
        <v>432</v>
      </c>
      <c r="AG40" s="2285"/>
      <c r="AH40" s="2284" t="s">
        <v>433</v>
      </c>
      <c r="AI40" s="2291"/>
      <c r="AJ40" s="2285"/>
      <c r="AK40" s="2300"/>
      <c r="AL40" s="2303"/>
      <c r="AM40" s="2149"/>
      <c r="AS40" s="1158">
        <v>34</v>
      </c>
    </row>
    <row customHeight="1" ht="35.699999999999996">
      <c r="A41" s="1373"/>
      <c r="B41" s="1373" t="s">
        <v>138</v>
      </c>
      <c r="C41" s="1373" t="s">
        <v>139</v>
      </c>
      <c r="D41" s="1373" t="s">
        <v>140</v>
      </c>
      <c r="E41" s="1367" t="s">
        <v>434</v>
      </c>
      <c r="F41" s="1367" t="s">
        <v>435</v>
      </c>
      <c r="G41" s="1367" t="s">
        <v>436</v>
      </c>
      <c r="H41" s="1367" t="s">
        <v>437</v>
      </c>
      <c r="I41" s="1367" t="s">
        <v>438</v>
      </c>
      <c r="J41" s="1367" t="s">
        <v>439</v>
      </c>
      <c r="K41" s="1367" t="s">
        <v>440</v>
      </c>
      <c r="L41" s="1367" t="s">
        <v>419</v>
      </c>
      <c r="Q41" s="379"/>
      <c r="R41" s="379"/>
      <c r="S41" s="2295"/>
      <c r="T41" s="2231"/>
      <c r="U41" s="305"/>
      <c r="V41" s="2283"/>
      <c r="W41" s="2306"/>
      <c r="X41" s="1225" t="s">
        <v>441</v>
      </c>
      <c r="Y41" s="1225" t="s">
        <v>442</v>
      </c>
      <c r="Z41" s="1341" t="s">
        <v>443</v>
      </c>
      <c r="AA41" s="2292" t="s">
        <v>444</v>
      </c>
      <c r="AB41" s="2293"/>
      <c r="AC41" s="2301"/>
      <c r="AD41" s="2283"/>
      <c r="AE41" s="2306"/>
      <c r="AF41" s="1225" t="s">
        <v>441</v>
      </c>
      <c r="AG41" s="1225" t="s">
        <v>442</v>
      </c>
      <c r="AH41" s="1341" t="s">
        <v>443</v>
      </c>
      <c r="AI41" s="2292" t="s">
        <v>444</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99</v>
      </c>
      <c r="T42" s="1258" t="s">
        <v>109</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189</v>
      </c>
      <c r="B44" s="1366" t="s">
        <v>190</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399</v>
      </c>
      <c r="AO44" s="503"/>
      <c r="AP44" s="503" t="str">
        <f>IF(T44="","",T44)</f>
        <v>Территория действия тарифа</v>
      </c>
      <c r="AQ44" s="503"/>
      <c r="AR44" s="503"/>
      <c r="AS44" s="1158">
        <v>21</v>
      </c>
    </row>
    <row customHeight="1" ht="24">
      <c r="A45" s="1366" t="s">
        <v>189</v>
      </c>
      <c r="B45" s="1366" t="s">
        <v>190</v>
      </c>
      <c r="C45" s="1366" t="s">
        <v>191</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401</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402</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403</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81"/>
      <c r="F47" s="2281"/>
      <c r="G47" s="2281"/>
      <c r="H47" s="2281"/>
      <c r="I47" s="2278" t="str">
        <f>S46&amp;".1"</f>
        <v>....1</v>
      </c>
      <c r="J47" s="1346"/>
      <c r="K47" s="1346"/>
      <c r="L47" s="1349" t="s">
        <v>404</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189</v>
      </c>
      <c r="B48" s="1366" t="s">
        <v>190</v>
      </c>
      <c r="C48" s="1366" t="s">
        <v>191</v>
      </c>
      <c r="D48" s="1366" t="s">
        <v>192</v>
      </c>
      <c r="E48" s="2281"/>
      <c r="F48" s="2281"/>
      <c r="G48" s="2281"/>
      <c r="H48" s="2281"/>
      <c r="I48" s="2308"/>
      <c r="J48" s="2278" t="str">
        <f>S46&amp;".1"</f>
        <v>....1</v>
      </c>
      <c r="K48" s="1366"/>
      <c r="L48" s="1367" t="s">
        <v>407</v>
      </c>
      <c r="P48" s="2279"/>
      <c r="Q48" s="2279">
        <v>1</v>
      </c>
      <c r="R48" s="360"/>
      <c r="S48" s="1339" t="str">
        <f>$J48</f>
        <v>....1</v>
      </c>
      <c r="T48" s="289" t="s">
        <v>408</v>
      </c>
      <c r="U48" s="303"/>
      <c r="V48" s="2267"/>
      <c r="W48" s="2268"/>
      <c r="X48" s="2268"/>
      <c r="Y48" s="2268"/>
      <c r="Z48" s="2268"/>
      <c r="AA48" s="2268"/>
      <c r="AB48" s="2268"/>
      <c r="AC48" s="2269"/>
      <c r="AD48" s="2267"/>
      <c r="AE48" s="2268"/>
      <c r="AF48" s="2268"/>
      <c r="AG48" s="2268"/>
      <c r="AH48" s="2268"/>
      <c r="AI48" s="2268"/>
      <c r="AJ48" s="2268"/>
      <c r="AK48" s="2268"/>
      <c r="AL48" s="2269"/>
      <c r="AM48" s="1261" t="s">
        <v>409</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81"/>
      <c r="F49" s="2281"/>
      <c r="G49" s="2281"/>
      <c r="H49" s="2281"/>
      <c r="I49" s="2308"/>
      <c r="J49" s="2308"/>
      <c r="K49" s="2278" t="str">
        <f>J48&amp;".1"</f>
        <v>....1.1</v>
      </c>
      <c r="L49" s="1367" t="s">
        <v>410</v>
      </c>
      <c r="P49" s="2279"/>
      <c r="Q49" s="2279"/>
      <c r="R49" s="360">
        <v>1</v>
      </c>
      <c r="S49" s="1339" t="str">
        <f>$K49</f>
        <v>....1.1</v>
      </c>
      <c r="T49" s="1350"/>
      <c r="U49" s="303"/>
      <c r="V49" s="754"/>
      <c r="W49" s="328"/>
      <c r="X49" s="754"/>
      <c r="Y49" s="1260"/>
      <c r="Z49" s="2287"/>
      <c r="AA49" s="2129" t="s">
        <v>62</v>
      </c>
      <c r="AB49" s="2287"/>
      <c r="AC49" s="2129" t="s">
        <v>62</v>
      </c>
      <c r="AD49" s="754"/>
      <c r="AE49" s="328"/>
      <c r="AF49" s="754"/>
      <c r="AG49" s="1260"/>
      <c r="AH49" s="2287"/>
      <c r="AI49" s="2129" t="s">
        <v>62</v>
      </c>
      <c r="AJ49" s="2309"/>
      <c r="AK49" s="2129" t="s">
        <v>62</v>
      </c>
      <c r="AL49" s="1351"/>
      <c r="AM49" s="2275" t="s">
        <v>448</v>
      </c>
      <c r="AN49" s="514">
        <f>STRCHECKDATE(V50:AL50)</f>
      </c>
      <c r="AO49" s="503"/>
      <c r="AP49" s="503" t="str">
        <f>IF(T49="","",T49)</f>
        <v/>
      </c>
      <c r="AQ49" s="503"/>
      <c r="AR49" s="503"/>
      <c r="AS49" s="1158">
        <v>21</v>
      </c>
    </row>
    <row customHeight="1" ht="0">
      <c r="A50" s="1366" t="s">
        <v>189</v>
      </c>
      <c r="B50" s="1366" t="s">
        <v>190</v>
      </c>
      <c r="C50" s="1366" t="s">
        <v>191</v>
      </c>
      <c r="D50" s="1366" t="s">
        <v>192</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189</v>
      </c>
      <c r="B51" s="1366" t="s">
        <v>190</v>
      </c>
      <c r="C51" s="1366" t="s">
        <v>191</v>
      </c>
      <c r="D51" s="1366" t="s">
        <v>192</v>
      </c>
      <c r="E51" s="2281"/>
      <c r="F51" s="2281"/>
      <c r="G51" s="2281"/>
      <c r="H51" s="2281"/>
      <c r="I51" s="2308"/>
      <c r="J51" s="2278"/>
      <c r="K51" s="1366"/>
      <c r="L51" s="1367"/>
      <c r="P51" s="2279"/>
      <c r="Q51" s="2279"/>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81"/>
      <c r="F52" s="2281"/>
      <c r="G52" s="2281"/>
      <c r="H52" s="2281"/>
      <c r="I52" s="2278"/>
      <c r="J52" s="1366"/>
      <c r="K52" s="1366"/>
      <c r="L52" s="1367"/>
      <c r="P52" s="2279"/>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189</v>
      </c>
      <c r="B54" s="1346" t="s">
        <v>190</v>
      </c>
      <c r="C54" s="1346" t="s">
        <v>191</v>
      </c>
      <c r="D54" s="1317"/>
      <c r="E54" s="2281"/>
      <c r="F54" s="2281"/>
      <c r="G54" s="2280"/>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189</v>
      </c>
      <c r="B55" s="1346" t="s">
        <v>190</v>
      </c>
      <c r="C55" s="1317"/>
      <c r="D55" s="1317"/>
      <c r="E55" s="2281"/>
      <c r="F55" s="2280"/>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189</v>
      </c>
      <c r="B56" s="1346"/>
      <c r="C56" s="1346"/>
      <c r="D56" s="1346"/>
      <c r="E56" s="2280"/>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ACA88-0B05-AB19-A0F2-0.76C10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126</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397</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398</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399</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400</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401</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402</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403</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404</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407</v>
      </c>
      <c r="N7" s="512"/>
      <c r="O7" s="330"/>
      <c r="Q7" s="2279"/>
      <c r="R7" s="2279">
        <v>1</v>
      </c>
      <c r="S7" s="521"/>
      <c r="T7" s="360"/>
      <c r="U7" s="1339">
        <f>$J7</f>
      </c>
      <c r="V7" s="289" t="s">
        <v>408</v>
      </c>
      <c r="W7" s="303"/>
      <c r="X7" s="2267"/>
      <c r="Y7" s="2268"/>
      <c r="Z7" s="2268"/>
      <c r="AA7" s="2268"/>
      <c r="AB7" s="2268"/>
      <c r="AC7" s="2257"/>
      <c r="AD7" s="2257"/>
      <c r="AE7" s="2257"/>
      <c r="AF7" s="2330"/>
      <c r="AG7" s="2267"/>
      <c r="AH7" s="2268"/>
      <c r="AI7" s="2268"/>
      <c r="AJ7" s="2268"/>
      <c r="AK7" s="2268"/>
      <c r="AL7" s="2268"/>
      <c r="AM7" s="2268"/>
      <c r="AN7" s="2268"/>
      <c r="AO7" s="2268"/>
      <c r="AP7" s="2269"/>
      <c r="AQ7" s="1261" t="s">
        <v>409</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410</v>
      </c>
      <c r="N8" s="512"/>
      <c r="O8" s="330"/>
      <c r="P8" s="330"/>
      <c r="Q8" s="2279"/>
      <c r="R8" s="2279"/>
      <c r="S8" s="2279">
        <v>1</v>
      </c>
      <c r="T8" s="360"/>
      <c r="U8" s="1339">
        <f>$K8</f>
      </c>
      <c r="V8" s="1350"/>
      <c r="W8" s="303"/>
      <c r="X8" s="754"/>
      <c r="Y8" s="754"/>
      <c r="Z8" s="754"/>
      <c r="AA8" s="754"/>
      <c r="AB8" s="1408"/>
      <c r="AC8" s="2287"/>
      <c r="AD8" s="2129" t="s">
        <v>62</v>
      </c>
      <c r="AE8" s="2287"/>
      <c r="AF8" s="2129" t="s">
        <v>62</v>
      </c>
      <c r="AG8" s="1410"/>
      <c r="AH8" s="754"/>
      <c r="AI8" s="754"/>
      <c r="AJ8" s="754"/>
      <c r="AK8" s="1260"/>
      <c r="AL8" s="2287"/>
      <c r="AM8" s="2129" t="s">
        <v>62</v>
      </c>
      <c r="AN8" s="2287"/>
      <c r="AO8" s="2129" t="s">
        <v>62</v>
      </c>
      <c r="AP8" s="328"/>
      <c r="AQ8" s="1310" t="s">
        <v>449</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450</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451</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412</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413</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415</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416</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417</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62</v>
      </c>
      <c r="AN19" s="2289"/>
      <c r="AO19" s="2290" t="s">
        <v>62</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418</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419</v>
      </c>
      <c r="Q26" s="1365"/>
      <c r="R26" s="1374"/>
      <c r="S26" s="1374"/>
      <c r="T26" s="1374"/>
      <c r="U26" s="732"/>
      <c r="V26" s="1163" t="s">
        <v>420</v>
      </c>
      <c r="AD26" s="189" t="s">
        <v>421</v>
      </c>
      <c r="AF26" s="189" t="s">
        <v>422</v>
      </c>
      <c r="AG26" s="1163" t="s">
        <v>420</v>
      </c>
      <c r="AM26" s="189" t="s">
        <v>423</v>
      </c>
      <c r="AO26" s="189" t="s">
        <v>422</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АО "Водоканал"</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424</v>
      </c>
      <c r="AG40" s="329"/>
      <c r="AH40" s="329"/>
      <c r="AI40" s="329"/>
      <c r="AJ40" s="329"/>
      <c r="AK40" s="329"/>
      <c r="AL40" s="329"/>
      <c r="AM40" s="329"/>
      <c r="AN40" s="329"/>
      <c r="AO40" s="281" t="s">
        <v>424</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301</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302</v>
      </c>
      <c r="AW42" s="1158">
        <v>14</v>
      </c>
    </row>
    <row customHeight="1" ht="14.699999999999998">
      <c r="R43" s="379"/>
      <c r="S43" s="379"/>
      <c r="T43" s="379"/>
      <c r="U43" s="2295" t="s">
        <v>88</v>
      </c>
      <c r="V43" s="2231" t="s">
        <v>425</v>
      </c>
      <c r="W43" s="304"/>
      <c r="X43" s="2296" t="s">
        <v>426</v>
      </c>
      <c r="Y43" s="2313"/>
      <c r="Z43" s="2313"/>
      <c r="AA43" s="2313"/>
      <c r="AB43" s="2313"/>
      <c r="AC43" s="2297"/>
      <c r="AD43" s="2297"/>
      <c r="AE43" s="2298"/>
      <c r="AF43" s="2299" t="s">
        <v>427</v>
      </c>
      <c r="AG43" s="2296" t="s">
        <v>426</v>
      </c>
      <c r="AH43" s="2313"/>
      <c r="AI43" s="2313"/>
      <c r="AJ43" s="2313"/>
      <c r="AK43" s="2313"/>
      <c r="AL43" s="2297"/>
      <c r="AM43" s="2297"/>
      <c r="AN43" s="2298"/>
      <c r="AO43" s="2299" t="s">
        <v>428</v>
      </c>
      <c r="AP43" s="2302" t="s">
        <v>429</v>
      </c>
      <c r="AQ43" s="2149"/>
      <c r="AW43" s="1158">
        <v>14</v>
      </c>
    </row>
    <row customHeight="1" ht="35.699999999999996">
      <c r="R44" s="379"/>
      <c r="S44" s="379"/>
      <c r="T44" s="379"/>
      <c r="U44" s="2295"/>
      <c r="V44" s="2231"/>
      <c r="W44" s="1034"/>
      <c r="X44" s="2316" t="s">
        <v>452</v>
      </c>
      <c r="Y44" s="2334" t="s">
        <v>453</v>
      </c>
      <c r="Z44" s="2334"/>
      <c r="AA44" s="2334"/>
      <c r="AB44" s="2334"/>
      <c r="AC44" s="2316" t="s">
        <v>433</v>
      </c>
      <c r="AD44" s="2637"/>
      <c r="AE44" s="2336"/>
      <c r="AF44" s="2300"/>
      <c r="AG44" s="2316" t="s">
        <v>452</v>
      </c>
      <c r="AH44" s="2334" t="s">
        <v>453</v>
      </c>
      <c r="AI44" s="2334"/>
      <c r="AJ44" s="2334"/>
      <c r="AK44" s="2334"/>
      <c r="AL44" s="2316" t="s">
        <v>433</v>
      </c>
      <c r="AM44" s="2637"/>
      <c r="AN44" s="2336"/>
      <c r="AO44" s="2300"/>
      <c r="AP44" s="2303"/>
      <c r="AQ44" s="2149"/>
      <c r="AW44" s="1158">
        <v>34</v>
      </c>
    </row>
    <row customHeight="1" ht="14.699999999999998">
      <c r="R45" s="379"/>
      <c r="S45" s="379"/>
      <c r="T45" s="379"/>
      <c r="U45" s="2295"/>
      <c r="V45" s="2231"/>
      <c r="W45" s="1034"/>
      <c r="X45" s="2347"/>
      <c r="Y45" s="2339" t="s">
        <v>454</v>
      </c>
      <c r="Z45" s="2292" t="s">
        <v>455</v>
      </c>
      <c r="AA45" s="2342"/>
      <c r="AB45" s="2293"/>
      <c r="AC45" s="2317"/>
      <c r="AD45" s="2638"/>
      <c r="AE45" s="2338"/>
      <c r="AF45" s="2300"/>
      <c r="AG45" s="2347"/>
      <c r="AH45" s="2339" t="s">
        <v>454</v>
      </c>
      <c r="AI45" s="2292" t="s">
        <v>455</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456</v>
      </c>
      <c r="AA46" s="2292" t="s">
        <v>457</v>
      </c>
      <c r="AB46" s="2293"/>
      <c r="AC46" s="2339" t="s">
        <v>443</v>
      </c>
      <c r="AD46" s="2343" t="s">
        <v>444</v>
      </c>
      <c r="AE46" s="2344"/>
      <c r="AF46" s="2300"/>
      <c r="AG46" s="2347"/>
      <c r="AH46" s="2340"/>
      <c r="AI46" s="2339" t="s">
        <v>456</v>
      </c>
      <c r="AJ46" s="2292" t="s">
        <v>457</v>
      </c>
      <c r="AK46" s="2293"/>
      <c r="AL46" s="2339" t="s">
        <v>443</v>
      </c>
      <c r="AM46" s="2343" t="s">
        <v>444</v>
      </c>
      <c r="AN46" s="2344"/>
      <c r="AO46" s="2300"/>
      <c r="AP46" s="2303"/>
      <c r="AQ46" s="2149"/>
      <c r="AW46" s="1158">
        <v>26</v>
      </c>
    </row>
    <row customHeight="1" ht="65.25">
      <c r="A47" s="1262"/>
      <c r="B47" s="1262" t="s">
        <v>138</v>
      </c>
      <c r="C47" s="1262" t="s">
        <v>139</v>
      </c>
      <c r="D47" s="1262" t="s">
        <v>140</v>
      </c>
      <c r="E47" s="1313" t="s">
        <v>434</v>
      </c>
      <c r="F47" s="1313" t="s">
        <v>435</v>
      </c>
      <c r="G47" s="1313" t="s">
        <v>436</v>
      </c>
      <c r="H47" s="1313" t="s">
        <v>437</v>
      </c>
      <c r="I47" s="1313" t="s">
        <v>438</v>
      </c>
      <c r="J47" s="1313" t="s">
        <v>439</v>
      </c>
      <c r="K47" s="1313" t="s">
        <v>440</v>
      </c>
      <c r="L47" s="1313" t="s">
        <v>458</v>
      </c>
      <c r="M47" s="1313" t="s">
        <v>419</v>
      </c>
      <c r="R47" s="379"/>
      <c r="S47" s="379"/>
      <c r="T47" s="379"/>
      <c r="U47" s="2295"/>
      <c r="V47" s="2231"/>
      <c r="W47" s="305"/>
      <c r="X47" s="2317"/>
      <c r="Y47" s="2341"/>
      <c r="Z47" s="2341"/>
      <c r="AA47" s="1225" t="s">
        <v>459</v>
      </c>
      <c r="AB47" s="1225" t="s">
        <v>460</v>
      </c>
      <c r="AC47" s="2341"/>
      <c r="AD47" s="2345"/>
      <c r="AE47" s="2346"/>
      <c r="AF47" s="2301"/>
      <c r="AG47" s="2317"/>
      <c r="AH47" s="2341"/>
      <c r="AI47" s="2341"/>
      <c r="AJ47" s="1225" t="s">
        <v>459</v>
      </c>
      <c r="AK47" s="1225" t="s">
        <v>460</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99</v>
      </c>
      <c r="V48" s="1258" t="s">
        <v>109</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177</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126</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177</v>
      </c>
      <c r="B50" s="1270" t="s">
        <v>178</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398</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399</v>
      </c>
      <c r="AS50" s="503"/>
      <c r="AT50" s="503" t="str">
        <f>IF(V50="","",V50)</f>
        <v>Территория действия тарифа</v>
      </c>
      <c r="AU50" s="503"/>
      <c r="AV50" s="503"/>
      <c r="AW50" s="1158">
        <v>21</v>
      </c>
    </row>
    <row customHeight="1" ht="24">
      <c r="A51" s="1270" t="s">
        <v>177</v>
      </c>
      <c r="B51" s="1270" t="s">
        <v>178</v>
      </c>
      <c r="C51" s="1270" t="s">
        <v>179</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400</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401</v>
      </c>
      <c r="AS51" s="503"/>
      <c r="AT51" s="503" t="str">
        <f>IF(V51="","",V51)</f>
        <v>Наименование системы теплоснабжения </v>
      </c>
      <c r="AU51" s="503"/>
      <c r="AV51" s="503"/>
      <c r="AW51" s="1158">
        <v>23</v>
      </c>
    </row>
    <row customHeight="1" ht="22.049999999999997">
      <c r="A52" s="1270" t="s">
        <v>177</v>
      </c>
      <c r="B52" s="1270" t="s">
        <v>178</v>
      </c>
      <c r="C52" s="1270" t="s">
        <v>179</v>
      </c>
      <c r="D52" s="1270" t="s">
        <v>180</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402</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403</v>
      </c>
      <c r="AS52" s="503"/>
      <c r="AT52" s="503" t="str">
        <f>IF(V52="","",V52)</f>
        <v>Источник тепловой энергии  </v>
      </c>
      <c r="AU52" s="503"/>
      <c r="AV52" s="503"/>
      <c r="AW52" s="1158">
        <v>21</v>
      </c>
    </row>
    <row s="1645" customFormat="1" customHeight="1" ht="0">
      <c r="A53" s="1378" t="s">
        <v>177</v>
      </c>
      <c r="B53" s="1378" t="s">
        <v>178</v>
      </c>
      <c r="C53" s="1378" t="s">
        <v>179</v>
      </c>
      <c r="D53" s="1378" t="s">
        <v>180</v>
      </c>
      <c r="E53" s="2312"/>
      <c r="F53" s="2312"/>
      <c r="G53" s="2312"/>
      <c r="H53" s="2333"/>
      <c r="I53" s="2149" t="str">
        <f>U52&amp;".1"</f>
        <v>....1</v>
      </c>
      <c r="J53" s="1378"/>
      <c r="K53" s="1378"/>
      <c r="L53" s="1378"/>
      <c r="M53" s="1384" t="s">
        <v>404</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177</v>
      </c>
      <c r="B54" s="1270" t="s">
        <v>178</v>
      </c>
      <c r="C54" s="1270" t="s">
        <v>179</v>
      </c>
      <c r="D54" s="1270" t="s">
        <v>180</v>
      </c>
      <c r="E54" s="2312"/>
      <c r="F54" s="2312"/>
      <c r="G54" s="2312"/>
      <c r="H54" s="2333"/>
      <c r="I54" s="2123"/>
      <c r="J54" s="2149" t="str">
        <f>I53&amp;".1"</f>
        <v>....1.1</v>
      </c>
      <c r="K54" s="1270"/>
      <c r="L54" s="1270"/>
      <c r="M54" s="1313" t="s">
        <v>407</v>
      </c>
      <c r="Q54" s="2279"/>
      <c r="R54" s="2279">
        <v>1</v>
      </c>
      <c r="S54" s="521"/>
      <c r="T54" s="360"/>
      <c r="U54" s="1339" t="str">
        <f>$J54</f>
        <v>....1.1</v>
      </c>
      <c r="V54" s="289" t="s">
        <v>408</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409</v>
      </c>
      <c r="AS54" s="503"/>
      <c r="AT54" s="503" t="str">
        <f>IF(V54="","",V54)</f>
        <v>Группа потребителей</v>
      </c>
      <c r="AU54" s="503"/>
      <c r="AV54" s="503"/>
      <c r="AW54" s="1158">
        <v>21</v>
      </c>
    </row>
    <row customHeight="1" ht="22.049999999999997">
      <c r="A55" s="1270" t="s">
        <v>177</v>
      </c>
      <c r="B55" s="1270" t="s">
        <v>178</v>
      </c>
      <c r="C55" s="1270" t="s">
        <v>179</v>
      </c>
      <c r="D55" s="1270" t="s">
        <v>180</v>
      </c>
      <c r="E55" s="2312"/>
      <c r="F55" s="2312"/>
      <c r="G55" s="2312"/>
      <c r="H55" s="2333"/>
      <c r="I55" s="2123"/>
      <c r="J55" s="2123"/>
      <c r="K55" s="2149" t="str">
        <f>J54&amp;".1"</f>
        <v>....1.1.1</v>
      </c>
      <c r="L55" s="142"/>
      <c r="M55" s="1313" t="s">
        <v>410</v>
      </c>
      <c r="Q55" s="2279"/>
      <c r="R55" s="2279"/>
      <c r="S55" s="521">
        <v>1</v>
      </c>
      <c r="T55" s="360"/>
      <c r="U55" s="1339" t="str">
        <f>$K55</f>
        <v>....1.1.1</v>
      </c>
      <c r="V55" s="1350"/>
      <c r="W55" s="303"/>
      <c r="X55" s="754"/>
      <c r="Y55" s="754"/>
      <c r="Z55" s="754"/>
      <c r="AA55" s="754"/>
      <c r="AB55" s="1408"/>
      <c r="AC55" s="2287"/>
      <c r="AD55" s="2129" t="s">
        <v>62</v>
      </c>
      <c r="AE55" s="2287"/>
      <c r="AF55" s="2129" t="s">
        <v>62</v>
      </c>
      <c r="AG55" s="1410"/>
      <c r="AH55" s="754"/>
      <c r="AI55" s="754"/>
      <c r="AJ55" s="754"/>
      <c r="AK55" s="1260"/>
      <c r="AL55" s="2287"/>
      <c r="AM55" s="2129" t="s">
        <v>62</v>
      </c>
      <c r="AN55" s="2287"/>
      <c r="AO55" s="2129" t="s">
        <v>62</v>
      </c>
      <c r="AP55" s="1351"/>
      <c r="AQ55" s="1310" t="s">
        <v>449</v>
      </c>
      <c r="AR55" s="514">
        <f>STRCHECKDATE(X57:AP57)</f>
      </c>
      <c r="AS55" s="503"/>
      <c r="AT55" s="503" t="str">
        <f>IF(V55="","",V55)</f>
        <v/>
      </c>
      <c r="AU55" s="503"/>
      <c r="AV55" s="503"/>
      <c r="AW55" s="1158">
        <v>21</v>
      </c>
    </row>
    <row customHeight="1" ht="11.549999999999999">
      <c r="A56" s="1270" t="s">
        <v>177</v>
      </c>
      <c r="B56" s="1270" t="s">
        <v>178</v>
      </c>
      <c r="C56" s="1270" t="s">
        <v>179</v>
      </c>
      <c r="D56" s="1270" t="s">
        <v>180</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450</v>
      </c>
      <c r="AR56" s="514">
        <f>STRCHECKDATE(X58:AP58)</f>
      </c>
      <c r="AS56" s="503"/>
      <c r="AT56" s="503" t="str">
        <f>IF(V56="","",V56)</f>
        <v/>
      </c>
      <c r="AU56" s="503"/>
      <c r="AV56" s="503"/>
      <c r="AW56" s="1158">
        <v>11</v>
      </c>
    </row>
    <row customHeight="1" ht="0">
      <c r="A57" s="1270" t="s">
        <v>177</v>
      </c>
      <c r="B57" s="1270" t="s">
        <v>178</v>
      </c>
      <c r="C57" s="1270" t="s">
        <v>179</v>
      </c>
      <c r="D57" s="1270" t="s">
        <v>180</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177</v>
      </c>
      <c r="B58" s="1270" t="s">
        <v>178</v>
      </c>
      <c r="C58" s="1270" t="s">
        <v>179</v>
      </c>
      <c r="D58" s="1270" t="s">
        <v>180</v>
      </c>
      <c r="E58" s="2312"/>
      <c r="F58" s="2312"/>
      <c r="G58" s="2312"/>
      <c r="H58" s="2333"/>
      <c r="I58" s="2123"/>
      <c r="J58" s="2123"/>
      <c r="K58" s="2149"/>
      <c r="L58" s="1270"/>
      <c r="M58" s="1313"/>
      <c r="Q58" s="2279"/>
      <c r="R58" s="2279"/>
      <c r="S58" s="1334"/>
      <c r="T58" s="359"/>
      <c r="U58" s="1281"/>
      <c r="V58" s="291" t="s">
        <v>451</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177</v>
      </c>
      <c r="B59" s="1270" t="s">
        <v>178</v>
      </c>
      <c r="C59" s="1270" t="s">
        <v>179</v>
      </c>
      <c r="D59" s="1270" t="s">
        <v>180</v>
      </c>
      <c r="E59" s="2312"/>
      <c r="F59" s="2312"/>
      <c r="G59" s="2312"/>
      <c r="H59" s="2333"/>
      <c r="I59" s="2123"/>
      <c r="J59" s="2149"/>
      <c r="K59" s="1270"/>
      <c r="L59" s="1270"/>
      <c r="M59" s="1313"/>
      <c r="Q59" s="2279"/>
      <c r="R59" s="2279"/>
      <c r="S59" s="1334"/>
      <c r="T59" s="359"/>
      <c r="U59" s="1281"/>
      <c r="V59" s="290" t="s">
        <v>412</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177</v>
      </c>
      <c r="B60" s="1270" t="s">
        <v>178</v>
      </c>
      <c r="C60" s="1270" t="s">
        <v>179</v>
      </c>
      <c r="D60" s="1270" t="s">
        <v>180</v>
      </c>
      <c r="E60" s="2312"/>
      <c r="F60" s="2312"/>
      <c r="G60" s="2312"/>
      <c r="H60" s="2333"/>
      <c r="I60" s="2149"/>
      <c r="J60" s="1270"/>
      <c r="K60" s="1270"/>
      <c r="L60" s="1270"/>
      <c r="M60" s="1313"/>
      <c r="Q60" s="2279"/>
      <c r="R60" s="1334"/>
      <c r="S60" s="1334"/>
      <c r="T60" s="359"/>
      <c r="U60" s="1281"/>
      <c r="V60" s="368" t="s">
        <v>413</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177</v>
      </c>
      <c r="B61" s="1270" t="s">
        <v>178</v>
      </c>
      <c r="C61" s="1270" t="s">
        <v>179</v>
      </c>
      <c r="D61" s="1270" t="s">
        <v>180</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177</v>
      </c>
      <c r="B62" s="1378" t="s">
        <v>178</v>
      </c>
      <c r="C62" s="1378" t="s">
        <v>179</v>
      </c>
      <c r="D62" s="1377"/>
      <c r="E62" s="2312"/>
      <c r="F62" s="2312"/>
      <c r="G62" s="2311"/>
      <c r="H62" s="1377"/>
      <c r="I62" s="1377"/>
      <c r="J62" s="1377"/>
      <c r="K62" s="1377"/>
      <c r="L62" s="1377"/>
      <c r="M62" s="1380"/>
      <c r="N62" s="1381"/>
      <c r="O62" s="1381"/>
      <c r="P62" s="354"/>
      <c r="Q62" s="1319"/>
      <c r="R62" s="1320"/>
      <c r="S62" s="1319"/>
      <c r="T62" s="1319"/>
      <c r="U62" s="1325"/>
      <c r="V62" s="1328" t="s">
        <v>415</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177</v>
      </c>
      <c r="B63" s="1378" t="s">
        <v>178</v>
      </c>
      <c r="C63" s="1377"/>
      <c r="D63" s="1377"/>
      <c r="E63" s="2312"/>
      <c r="F63" s="2311"/>
      <c r="G63" s="1377"/>
      <c r="H63" s="1377"/>
      <c r="I63" s="1377"/>
      <c r="J63" s="1377"/>
      <c r="K63" s="1377"/>
      <c r="L63" s="1377"/>
      <c r="M63" s="1380"/>
      <c r="N63" s="1382"/>
      <c r="O63" s="1382"/>
      <c r="P63" s="354"/>
      <c r="Q63" s="1319"/>
      <c r="R63" s="1320"/>
      <c r="S63" s="1319"/>
      <c r="T63" s="1319"/>
      <c r="U63" s="1325"/>
      <c r="V63" s="1328" t="s">
        <v>416</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177</v>
      </c>
      <c r="B64" s="1378"/>
      <c r="C64" s="1378"/>
      <c r="D64" s="1378"/>
      <c r="E64" s="2311"/>
      <c r="F64" s="1378"/>
      <c r="G64" s="1378"/>
      <c r="H64" s="1378"/>
      <c r="I64" s="1378"/>
      <c r="J64" s="1378"/>
      <c r="K64" s="1378"/>
      <c r="L64" s="1378"/>
      <c r="M64" s="1384"/>
      <c r="N64" s="1382"/>
      <c r="O64" s="1382"/>
      <c r="P64" s="354"/>
      <c r="Q64" s="383"/>
      <c r="R64" s="1347"/>
      <c r="S64" s="383"/>
      <c r="T64" s="383"/>
      <c r="U64" s="1325"/>
      <c r="V64" s="1328" t="s">
        <v>417</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0782AC-2D5B-125E-A5C9-0.50B5DED2}" mc:Ignorable="x14ac xr xr2 xr3">
  <sheetPr>
    <tabColor rgb="FFCCCCFF"/>
  </sheetPr>
  <dimension ref="A1:Q79"/>
  <sheetViews>
    <sheetView topLeftCell="A1" showGridLines="0" zoomScale="90" workbookViewId="0">
      <selection activeCell="K60" sqref="K6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PP108.OPEN.INFO.BALANCE.COLDVSNA.EIAS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19"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60</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61</v>
      </c>
      <c r="F53" s="1051" t="s">
        <v>62</v>
      </c>
      <c r="G53" s="535"/>
      <c r="I53" s="537"/>
      <c r="J53" s="881"/>
      <c r="P53" s="538"/>
      <c r="Q53" s="536">
        <v>0</v>
      </c>
    </row>
    <row s="1638" customFormat="1" customHeight="1" ht="27">
      <c r="A54" s="789"/>
      <c r="B54" s="416"/>
      <c r="C54" s="533"/>
      <c r="D54" s="534"/>
      <c r="E54" s="394" t="s">
        <v>63</v>
      </c>
      <c r="F54" s="2655">
        <v>46092.66637731482</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64</v>
      </c>
      <c r="F56" s="1051" t="s">
        <v>62</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65</v>
      </c>
      <c r="F58" s="1051" t="s">
        <v>62</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t="s">
        <v>62</v>
      </c>
      <c r="G59" s="535"/>
      <c r="I59" s="537"/>
      <c r="J59" s="881"/>
      <c r="P59" s="538"/>
      <c r="Q59" s="536">
        <v>0</v>
      </c>
    </row>
    <row s="1638" customFormat="1" customHeight="1" ht="15">
      <c r="A60" s="789"/>
      <c r="B60" s="416"/>
      <c r="C60" s="533"/>
      <c r="D60" s="534"/>
      <c r="E60" s="1168" t="s">
        <v>66</v>
      </c>
      <c r="F60" s="1213" t="s">
        <v>67</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56"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5F839A9-7AC7-BA88-C1AC-0.F18399ED}"/>
    <hyperlink ref="H16" location="Титульный!H9" display="Как заполнить?" tooltip="Помощь по работе с полями отчётной формы" xr:uid="{CFB22348-5507-D0A5-7C16-0.BFE1FDCE}"/>
    <hyperlink ref="H17" location="Титульный!H9" display="Как заполнить?" tooltip="Помощь по работе с полями отчётной формы" xr:uid="{E827A78A-2736-64A9-1348-0.5F3C837F}"/>
    <hyperlink ref="H39" location="Титульный!H9" display="Как заполнить?" tooltip="Помощь по работе с полями отчётной формы" xr:uid="{D217921B-25FB-436B-8A5C-0.B92204A6}"/>
    <hyperlink ref="H62" location="Титульный!H9" display="Как заполнить?" tooltip="Помощь по работе с полями отчётной формы" xr:uid="{E9DA878C-B6E9-C27D-D0AA-0.9C45CBFD}"/>
    <hyperlink ref="F70" r:id="rId4" xr:uid="{66FCEC55-5489-DDF7-EFF3-0.8A4117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80A23-FA58-8DC3-284B-0.9852E2C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126</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397</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398</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399</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400</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401</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402</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403</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404</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62</v>
      </c>
      <c r="Z8" s="2287"/>
      <c r="AA8" s="2129" t="s">
        <v>62</v>
      </c>
      <c r="AB8" s="2129" t="s">
        <v>19</v>
      </c>
      <c r="AC8" s="2348"/>
      <c r="AD8" s="2227">
        <v>1</v>
      </c>
      <c r="AE8" s="2349"/>
      <c r="AF8" s="2129" t="s">
        <v>19</v>
      </c>
      <c r="AG8" s="2348"/>
      <c r="AH8" s="2227">
        <v>1</v>
      </c>
      <c r="AI8" s="2349"/>
      <c r="AJ8" s="2129" t="s">
        <v>19</v>
      </c>
      <c r="AK8" s="314"/>
      <c r="AL8" s="1340">
        <v>1</v>
      </c>
      <c r="AM8" s="1401"/>
      <c r="AN8" s="754"/>
      <c r="AO8" s="1260"/>
      <c r="AP8" s="1736"/>
      <c r="AQ8" s="1462" t="s">
        <v>62</v>
      </c>
      <c r="AR8" s="1736"/>
      <c r="AS8" s="1462" t="s">
        <v>62</v>
      </c>
      <c r="AT8" s="1351"/>
      <c r="AU8" s="2275" t="s">
        <v>461</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462</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463</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464</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465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416</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62</v>
      </c>
      <c r="AR19" s="1738"/>
      <c r="AS19" s="1463" t="s">
        <v>62</v>
      </c>
      <c r="BA19" s="1158">
        <v>0</v>
      </c>
    </row>
    <row customHeight="1" ht="14.25" hidden="1">
      <c r="AV20" s="499"/>
      <c r="AW20" s="499"/>
      <c r="AX20" s="499"/>
      <c r="AY20" s="499"/>
      <c r="AZ20" s="499"/>
      <c r="BA20" s="1158">
        <v>0</v>
      </c>
    </row>
    <row customHeight="1" ht="14.25" hidden="1">
      <c r="O21" s="1370" t="s">
        <v>418</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419</v>
      </c>
      <c r="P23" s="1511"/>
      <c r="Q23" s="1513"/>
      <c r="R23" s="1513"/>
      <c r="Y23" s="1510" t="s">
        <v>421</v>
      </c>
      <c r="AA23" s="1510" t="s">
        <v>422</v>
      </c>
      <c r="AB23" s="1510" t="s">
        <v>466</v>
      </c>
      <c r="AE23" s="1510" t="s">
        <v>467</v>
      </c>
      <c r="AF23" s="1510" t="s">
        <v>466</v>
      </c>
      <c r="AI23" s="1510" t="s">
        <v>468</v>
      </c>
      <c r="AJ23" s="1510" t="s">
        <v>466</v>
      </c>
      <c r="AM23" s="1510" t="s">
        <v>469</v>
      </c>
      <c r="AQ23" s="1510" t="s">
        <v>421</v>
      </c>
      <c r="AS23" s="1510" t="s">
        <v>422</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АО "Водоканал"</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424</v>
      </c>
      <c r="AB37" s="329"/>
      <c r="AC37" s="329"/>
      <c r="AD37" s="329"/>
      <c r="AE37" s="329"/>
      <c r="AF37" s="329"/>
      <c r="AG37" s="329"/>
      <c r="AH37" s="329"/>
      <c r="AI37" s="329"/>
      <c r="AJ37" s="329"/>
      <c r="AK37" s="329"/>
      <c r="AL37" s="329"/>
      <c r="AM37" s="329"/>
      <c r="AN37" s="329"/>
      <c r="AO37" s="329"/>
      <c r="AP37" s="329"/>
      <c r="AQ37" s="329"/>
      <c r="AR37" s="329"/>
      <c r="AS37" s="281" t="s">
        <v>424</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301</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302</v>
      </c>
      <c r="BA39" s="1158">
        <v>14</v>
      </c>
    </row>
    <row customHeight="1" ht="14.699999999999998">
      <c r="Q40" s="294"/>
      <c r="R40" s="379"/>
      <c r="S40" s="2295" t="s">
        <v>88</v>
      </c>
      <c r="T40" s="2231" t="s">
        <v>470</v>
      </c>
      <c r="U40" s="304"/>
      <c r="V40" s="2297"/>
      <c r="W40" s="2297"/>
      <c r="X40" s="2297"/>
      <c r="Y40" s="2297"/>
      <c r="Z40" s="2298"/>
      <c r="AA40" s="2358" t="s">
        <v>427</v>
      </c>
      <c r="AB40" s="2350" t="s">
        <v>471</v>
      </c>
      <c r="AC40" s="2313"/>
      <c r="AD40" s="2313"/>
      <c r="AE40" s="2351"/>
      <c r="AF40" s="2313" t="s">
        <v>472</v>
      </c>
      <c r="AG40" s="2313"/>
      <c r="AH40" s="2313"/>
      <c r="AI40" s="2351"/>
      <c r="AJ40" s="2350" t="s">
        <v>473</v>
      </c>
      <c r="AK40" s="2313"/>
      <c r="AL40" s="2313"/>
      <c r="AM40" s="2351"/>
      <c r="AN40" s="2350" t="s">
        <v>426</v>
      </c>
      <c r="AO40" s="2313"/>
      <c r="AP40" s="2297"/>
      <c r="AQ40" s="2297"/>
      <c r="AR40" s="2298"/>
      <c r="AS40" s="2299" t="s">
        <v>427</v>
      </c>
      <c r="AT40" s="2302" t="s">
        <v>429</v>
      </c>
      <c r="AU40" s="2149"/>
      <c r="BA40" s="1158">
        <v>14</v>
      </c>
    </row>
    <row customHeight="1" ht="35.699999999999996">
      <c r="Q41" s="294"/>
      <c r="R41" s="379"/>
      <c r="S41" s="2295"/>
      <c r="T41" s="2231"/>
      <c r="U41" s="1034"/>
      <c r="V41" s="2149" t="s">
        <v>474</v>
      </c>
      <c r="W41" s="2149"/>
      <c r="X41" s="2316" t="s">
        <v>433</v>
      </c>
      <c r="Y41" s="2335"/>
      <c r="Z41" s="2336"/>
      <c r="AA41" s="2359"/>
      <c r="AB41" s="2352"/>
      <c r="AC41" s="2353"/>
      <c r="AD41" s="2353"/>
      <c r="AE41" s="2354"/>
      <c r="AF41" s="2353"/>
      <c r="AG41" s="2353"/>
      <c r="AH41" s="2353"/>
      <c r="AI41" s="2354"/>
      <c r="AJ41" s="2352"/>
      <c r="AK41" s="2353"/>
      <c r="AL41" s="2353"/>
      <c r="AM41" s="2353"/>
      <c r="AN41" s="2149" t="s">
        <v>474</v>
      </c>
      <c r="AO41" s="2149"/>
      <c r="AP41" s="2335" t="s">
        <v>433</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138</v>
      </c>
      <c r="C43" s="1373" t="s">
        <v>139</v>
      </c>
      <c r="D43" s="1373" t="s">
        <v>140</v>
      </c>
      <c r="E43" s="1367" t="s">
        <v>434</v>
      </c>
      <c r="F43" s="1367" t="s">
        <v>435</v>
      </c>
      <c r="G43" s="1367" t="s">
        <v>436</v>
      </c>
      <c r="H43" s="1367" t="s">
        <v>437</v>
      </c>
      <c r="I43" s="1367" t="s">
        <v>438</v>
      </c>
      <c r="J43" s="1367" t="s">
        <v>439</v>
      </c>
      <c r="K43" s="1367" t="s">
        <v>440</v>
      </c>
      <c r="L43" s="1367" t="s">
        <v>419</v>
      </c>
      <c r="Q43" s="294"/>
      <c r="R43" s="379"/>
      <c r="S43" s="2295"/>
      <c r="T43" s="2231"/>
      <c r="U43" s="305"/>
      <c r="V43" s="1333" t="s">
        <v>475</v>
      </c>
      <c r="W43" s="1333" t="s">
        <v>476</v>
      </c>
      <c r="X43" s="1341" t="s">
        <v>443</v>
      </c>
      <c r="Y43" s="2292" t="s">
        <v>444</v>
      </c>
      <c r="Z43" s="2293"/>
      <c r="AA43" s="2360"/>
      <c r="AB43" s="2355"/>
      <c r="AC43" s="2356"/>
      <c r="AD43" s="2356"/>
      <c r="AE43" s="2357"/>
      <c r="AF43" s="2356"/>
      <c r="AG43" s="2356"/>
      <c r="AH43" s="2356"/>
      <c r="AI43" s="2357"/>
      <c r="AJ43" s="2355"/>
      <c r="AK43" s="2356"/>
      <c r="AL43" s="2356"/>
      <c r="AM43" s="2357"/>
      <c r="AN43" s="1860" t="s">
        <v>475</v>
      </c>
      <c r="AO43" s="1860" t="s">
        <v>476</v>
      </c>
      <c r="AP43" s="1341" t="s">
        <v>443</v>
      </c>
      <c r="AQ43" s="2292" t="s">
        <v>444</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99</v>
      </c>
      <c r="T44" s="1258" t="s">
        <v>109</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201</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126</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201</v>
      </c>
      <c r="B46" s="1366" t="s">
        <v>202</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398</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399</v>
      </c>
      <c r="AW46" s="503"/>
      <c r="AX46" s="503" t="str">
        <f>IF(T46="","",T46)</f>
        <v>Территория действия тарифа</v>
      </c>
      <c r="AY46" s="503"/>
      <c r="AZ46" s="503"/>
      <c r="BA46" s="1158">
        <v>21</v>
      </c>
    </row>
    <row customHeight="1" ht="24">
      <c r="A47" s="1366" t="s">
        <v>201</v>
      </c>
      <c r="B47" s="1366" t="s">
        <v>202</v>
      </c>
      <c r="C47" s="1366" t="s">
        <v>203</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400</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401</v>
      </c>
      <c r="AW47" s="503"/>
      <c r="AX47" s="503" t="str">
        <f>IF(T47="","",T47)</f>
        <v>Наименование системы теплоснабжения </v>
      </c>
      <c r="AY47" s="503"/>
      <c r="AZ47" s="503"/>
      <c r="BA47" s="1158">
        <v>23</v>
      </c>
    </row>
    <row customHeight="1" ht="21">
      <c r="A48" s="1366" t="s">
        <v>201</v>
      </c>
      <c r="B48" s="1366" t="s">
        <v>202</v>
      </c>
      <c r="C48" s="1366" t="s">
        <v>203</v>
      </c>
      <c r="D48" s="1366" t="s">
        <v>204</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402</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403</v>
      </c>
      <c r="AW48" s="503"/>
      <c r="AX48" s="503" t="str">
        <f>IF(T48="","",T48)</f>
        <v>Источник тепловой энергии  </v>
      </c>
      <c r="AY48" s="503"/>
      <c r="AZ48" s="503"/>
      <c r="BA48" s="1158">
        <v>20</v>
      </c>
    </row>
    <row s="1645" customFormat="1" customHeight="1" ht="1.05">
      <c r="A49" s="1346" t="s">
        <v>201</v>
      </c>
      <c r="B49" s="1346" t="s">
        <v>202</v>
      </c>
      <c r="C49" s="1346" t="s">
        <v>203</v>
      </c>
      <c r="D49" s="1346" t="s">
        <v>204</v>
      </c>
      <c r="E49" s="2281"/>
      <c r="F49" s="2281"/>
      <c r="G49" s="2281"/>
      <c r="H49" s="2281"/>
      <c r="I49" s="2278" t="str">
        <f>S48&amp;".1"</f>
        <v>....1</v>
      </c>
      <c r="J49" s="1346"/>
      <c r="K49" s="1346"/>
      <c r="L49" s="1349" t="s">
        <v>404</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201</v>
      </c>
      <c r="B50" s="1346" t="s">
        <v>202</v>
      </c>
      <c r="C50" s="1346" t="s">
        <v>203</v>
      </c>
      <c r="D50" s="1346" t="s">
        <v>204</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201</v>
      </c>
      <c r="B51" s="1366" t="s">
        <v>202</v>
      </c>
      <c r="C51" s="1366" t="s">
        <v>203</v>
      </c>
      <c r="D51" s="1366" t="s">
        <v>204</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62</v>
      </c>
      <c r="Z51" s="1736"/>
      <c r="AA51" s="1462" t="s">
        <v>62</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62</v>
      </c>
      <c r="AR51" s="1736"/>
      <c r="AS51" s="1462" t="s">
        <v>62</v>
      </c>
      <c r="AT51" s="1351"/>
      <c r="AU51" s="2275" t="s">
        <v>477</v>
      </c>
      <c r="AV51" s="514">
        <f>STRCHECKDATE(V54:AT54)</f>
      </c>
      <c r="AW51" s="503"/>
      <c r="AX51" s="503" t="str">
        <f>IF(T51="","",T51)</f>
        <v/>
      </c>
      <c r="AY51" s="503"/>
      <c r="AZ51" s="503"/>
      <c r="BA51" s="1158">
        <v>21</v>
      </c>
    </row>
    <row customHeight="1" ht="11.549999999999999">
      <c r="A52" s="1366" t="s">
        <v>201</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462</v>
      </c>
      <c r="AN52" s="1396"/>
      <c r="AO52" s="1499"/>
      <c r="AP52" s="1396"/>
      <c r="AQ52" s="1396"/>
      <c r="AR52" s="1396"/>
      <c r="AS52" s="1396"/>
      <c r="AT52" s="1393"/>
      <c r="AU52" s="2276"/>
      <c r="AW52" s="503"/>
      <c r="AX52" s="503"/>
      <c r="AY52" s="503"/>
      <c r="AZ52" s="503"/>
      <c r="BA52" s="1158">
        <v>11</v>
      </c>
    </row>
    <row customHeight="1" ht="11.549999999999999">
      <c r="A53" s="1366" t="s">
        <v>201</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463</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201</v>
      </c>
      <c r="B54" s="1366" t="s">
        <v>202</v>
      </c>
      <c r="C54" s="1366" t="s">
        <v>203</v>
      </c>
      <c r="D54" s="1366" t="s">
        <v>204</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464</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201</v>
      </c>
      <c r="B55" s="1366" t="s">
        <v>202</v>
      </c>
      <c r="C55" s="1366" t="s">
        <v>203</v>
      </c>
      <c r="D55" s="1366" t="s">
        <v>204</v>
      </c>
      <c r="E55" s="2281"/>
      <c r="F55" s="2281"/>
      <c r="G55" s="2281"/>
      <c r="H55" s="2281"/>
      <c r="I55" s="2308"/>
      <c r="J55" s="2278"/>
      <c r="K55" s="1366"/>
      <c r="L55" s="1367"/>
      <c r="P55" s="2279"/>
      <c r="Q55" s="2279"/>
      <c r="R55" s="359"/>
      <c r="S55" s="1281"/>
      <c r="T55" s="290" t="s">
        <v>465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201</v>
      </c>
      <c r="B56" s="1346" t="s">
        <v>202</v>
      </c>
      <c r="C56" s="1346" t="s">
        <v>203</v>
      </c>
      <c r="D56" s="1346" t="s">
        <v>204</v>
      </c>
      <c r="E56" s="2281"/>
      <c r="F56" s="2281"/>
      <c r="G56" s="2281"/>
      <c r="H56" s="2281"/>
      <c r="I56" s="2278"/>
      <c r="J56" s="1346"/>
      <c r="K56" s="1346"/>
      <c r="L56" s="1349"/>
      <c r="M56" s="513"/>
      <c r="N56" s="513"/>
      <c r="O56" s="513"/>
      <c r="P56" s="2279"/>
      <c r="Q56" s="1334"/>
      <c r="R56" s="359"/>
      <c r="S56" s="1389"/>
      <c r="T56" s="1390" t="s">
        <v>413</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201</v>
      </c>
      <c r="B57" s="1346" t="s">
        <v>202</v>
      </c>
      <c r="C57" s="1346" t="s">
        <v>203</v>
      </c>
      <c r="D57" s="1346" t="s">
        <v>204</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201</v>
      </c>
      <c r="B58" s="1346" t="s">
        <v>202</v>
      </c>
      <c r="C58" s="1346" t="s">
        <v>203</v>
      </c>
      <c r="D58" s="1317"/>
      <c r="E58" s="2281"/>
      <c r="F58" s="2281"/>
      <c r="G58" s="2280"/>
      <c r="H58" s="1317"/>
      <c r="I58" s="1317"/>
      <c r="J58" s="1317"/>
      <c r="K58" s="1317"/>
      <c r="L58" s="1342"/>
      <c r="M58" s="1318"/>
      <c r="N58" s="1318"/>
      <c r="P58" s="1319"/>
      <c r="Q58" s="1320"/>
      <c r="R58" s="1319"/>
      <c r="S58" s="1325"/>
      <c r="T58" s="1328" t="s">
        <v>415</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201</v>
      </c>
      <c r="B59" s="1346" t="s">
        <v>202</v>
      </c>
      <c r="C59" s="1317"/>
      <c r="D59" s="1317"/>
      <c r="E59" s="2281"/>
      <c r="F59" s="2280"/>
      <c r="G59" s="1317"/>
      <c r="H59" s="1317"/>
      <c r="I59" s="1317"/>
      <c r="J59" s="1317"/>
      <c r="K59" s="1317"/>
      <c r="L59" s="1342"/>
      <c r="M59" s="1324"/>
      <c r="N59" s="1324"/>
      <c r="P59" s="1319"/>
      <c r="Q59" s="1320"/>
      <c r="R59" s="1319"/>
      <c r="S59" s="1325"/>
      <c r="T59" s="1328" t="s">
        <v>416</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201</v>
      </c>
      <c r="B60" s="1346"/>
      <c r="C60" s="1346"/>
      <c r="D60" s="1346"/>
      <c r="E60" s="2281"/>
      <c r="F60" s="1346"/>
      <c r="G60" s="1346"/>
      <c r="H60" s="1346"/>
      <c r="I60" s="1346"/>
      <c r="J60" s="1346"/>
      <c r="K60" s="1346"/>
      <c r="L60" s="1349"/>
      <c r="M60" s="1324"/>
      <c r="N60" s="1324"/>
      <c r="O60" s="521"/>
      <c r="P60" s="383"/>
      <c r="Q60" s="1347"/>
      <c r="R60" s="383"/>
      <c r="S60" s="1325"/>
      <c r="T60" s="1328" t="s">
        <v>417</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201</v>
      </c>
      <c r="B61" s="1346"/>
      <c r="C61" s="1346"/>
      <c r="D61" s="1346"/>
      <c r="E61" s="2280"/>
      <c r="F61" s="1346"/>
      <c r="G61" s="1346"/>
      <c r="H61" s="1346"/>
      <c r="I61" s="1346"/>
      <c r="J61" s="1346"/>
      <c r="K61" s="1346"/>
      <c r="L61" s="1349"/>
      <c r="M61" s="1324"/>
      <c r="N61" s="1324"/>
      <c r="O61" s="521"/>
      <c r="P61" s="383"/>
      <c r="Q61" s="1347"/>
      <c r="R61" s="383"/>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C1A2A-EA05-55D4-5922-0.29EA1DD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126</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397</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398</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399</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400</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401</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402</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403</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404</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62</v>
      </c>
      <c r="Z8" s="1992"/>
      <c r="AA8" s="1990" t="s">
        <v>62</v>
      </c>
      <c r="AB8" s="1996"/>
      <c r="AC8" s="1997" t="s">
        <v>22</v>
      </c>
      <c r="AD8" s="754"/>
      <c r="AE8" s="1260"/>
      <c r="AF8" s="1955"/>
      <c r="AG8" s="1942" t="s">
        <v>62</v>
      </c>
      <c r="AH8" s="1955"/>
      <c r="AI8" s="1942" t="s">
        <v>62</v>
      </c>
      <c r="AJ8" s="1351"/>
      <c r="AK8" s="2275" t="s">
        <v>461</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465</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416</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417</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62</v>
      </c>
      <c r="AH16" s="1738"/>
      <c r="AI16" s="1966" t="s">
        <v>62</v>
      </c>
      <c r="AQ16" s="1634">
        <v>0</v>
      </c>
    </row>
    <row customHeight="1" ht="14.25" hidden="1">
      <c r="AL17" s="1644"/>
      <c r="AM17" s="1644"/>
      <c r="AN17" s="1644"/>
      <c r="AO17" s="1644"/>
      <c r="AP17" s="1644"/>
      <c r="AQ17" s="1634">
        <v>0</v>
      </c>
    </row>
    <row customHeight="1" ht="14.25" hidden="1">
      <c r="O18" s="1348" t="s">
        <v>418</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419</v>
      </c>
      <c r="P20" s="1511"/>
      <c r="Q20" s="1513"/>
      <c r="R20" s="1513"/>
      <c r="Y20" s="1510" t="s">
        <v>421</v>
      </c>
      <c r="AA20" s="1510" t="s">
        <v>422</v>
      </c>
      <c r="AC20" s="1510" t="s">
        <v>467</v>
      </c>
      <c r="AG20" s="1510" t="s">
        <v>421</v>
      </c>
      <c r="AI20" s="1510" t="s">
        <v>422</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АО "Водоканал"</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424</v>
      </c>
      <c r="AB34" s="1645"/>
      <c r="AC34" s="1638"/>
      <c r="AD34" s="1638"/>
      <c r="AE34" s="1638"/>
      <c r="AF34" s="1638"/>
      <c r="AG34" s="1638"/>
      <c r="AH34" s="1638"/>
      <c r="AI34" s="1645" t="s">
        <v>424</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301</v>
      </c>
      <c r="T36" s="2149"/>
      <c r="U36" s="2149"/>
      <c r="V36" s="2149"/>
      <c r="W36" s="2149"/>
      <c r="X36" s="2149"/>
      <c r="Y36" s="2149"/>
      <c r="Z36" s="2149"/>
      <c r="AA36" s="2197"/>
      <c r="AB36" s="2197"/>
      <c r="AC36" s="2197"/>
      <c r="AD36" s="2149"/>
      <c r="AE36" s="2149"/>
      <c r="AF36" s="2149"/>
      <c r="AG36" s="2149"/>
      <c r="AH36" s="2149"/>
      <c r="AI36" s="2149"/>
      <c r="AJ36" s="2149"/>
      <c r="AK36" s="2149" t="s">
        <v>302</v>
      </c>
      <c r="AQ36" s="1634">
        <v>14</v>
      </c>
    </row>
    <row customHeight="1" ht="14.699999999999998">
      <c r="Q37" s="294"/>
      <c r="R37" s="379"/>
      <c r="S37" s="2295" t="s">
        <v>88</v>
      </c>
      <c r="T37" s="2231" t="s">
        <v>478</v>
      </c>
      <c r="U37" s="340"/>
      <c r="V37" s="2297"/>
      <c r="W37" s="2297"/>
      <c r="X37" s="2297"/>
      <c r="Y37" s="2297"/>
      <c r="Z37" s="2297"/>
      <c r="AA37" s="2231" t="s">
        <v>427</v>
      </c>
      <c r="AB37" s="2230" t="s">
        <v>479</v>
      </c>
      <c r="AC37" s="2230" t="s">
        <v>471</v>
      </c>
      <c r="AD37" s="2313" t="s">
        <v>426</v>
      </c>
      <c r="AE37" s="2313"/>
      <c r="AF37" s="2297"/>
      <c r="AG37" s="2297"/>
      <c r="AH37" s="2298"/>
      <c r="AI37" s="2299" t="s">
        <v>427</v>
      </c>
      <c r="AJ37" s="2302" t="s">
        <v>429</v>
      </c>
      <c r="AK37" s="2149"/>
      <c r="AQ37" s="1634">
        <v>14</v>
      </c>
    </row>
    <row customHeight="1" ht="35.699999999999996">
      <c r="Q38" s="294"/>
      <c r="R38" s="379"/>
      <c r="S38" s="2295"/>
      <c r="T38" s="2231"/>
      <c r="U38" s="1034"/>
      <c r="V38" s="2125" t="s">
        <v>474</v>
      </c>
      <c r="W38" s="2149"/>
      <c r="X38" s="2316" t="s">
        <v>433</v>
      </c>
      <c r="Y38" s="2335"/>
      <c r="Z38" s="2335"/>
      <c r="AA38" s="2231"/>
      <c r="AB38" s="2230"/>
      <c r="AC38" s="2230"/>
      <c r="AD38" s="2125" t="s">
        <v>474</v>
      </c>
      <c r="AE38" s="2149"/>
      <c r="AF38" s="2335" t="s">
        <v>433</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138</v>
      </c>
      <c r="C40" s="1269" t="s">
        <v>139</v>
      </c>
      <c r="D40" s="1269" t="s">
        <v>140</v>
      </c>
      <c r="E40" s="1313" t="s">
        <v>434</v>
      </c>
      <c r="F40" s="1313" t="s">
        <v>435</v>
      </c>
      <c r="G40" s="1313" t="s">
        <v>436</v>
      </c>
      <c r="H40" s="1313" t="s">
        <v>437</v>
      </c>
      <c r="I40" s="1313" t="s">
        <v>438</v>
      </c>
      <c r="J40" s="1313" t="s">
        <v>439</v>
      </c>
      <c r="K40" s="1313" t="s">
        <v>440</v>
      </c>
      <c r="L40" s="1313" t="s">
        <v>419</v>
      </c>
      <c r="Q40" s="294"/>
      <c r="R40" s="379"/>
      <c r="S40" s="2295"/>
      <c r="T40" s="2231"/>
      <c r="U40" s="305"/>
      <c r="V40" s="1950" t="s">
        <v>475</v>
      </c>
      <c r="W40" s="1950" t="s">
        <v>476</v>
      </c>
      <c r="X40" s="1938" t="s">
        <v>443</v>
      </c>
      <c r="Y40" s="2292" t="s">
        <v>444</v>
      </c>
      <c r="Z40" s="2342"/>
      <c r="AA40" s="2231"/>
      <c r="AB40" s="2230"/>
      <c r="AC40" s="2230"/>
      <c r="AD40" s="1968" t="s">
        <v>475</v>
      </c>
      <c r="AE40" s="1959" t="s">
        <v>476</v>
      </c>
      <c r="AF40" s="1938" t="s">
        <v>443</v>
      </c>
      <c r="AG40" s="2292" t="s">
        <v>444</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99</v>
      </c>
      <c r="T41" s="1258" t="s">
        <v>109</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207</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126</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207</v>
      </c>
      <c r="B43" s="1270" t="s">
        <v>208</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398</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399</v>
      </c>
      <c r="AM43" s="1627"/>
      <c r="AN43" s="1627" t="str">
        <f>IF(T43="","",T43)</f>
        <v>Территория действия тарифа</v>
      </c>
      <c r="AO43" s="1627"/>
      <c r="AP43" s="1627"/>
      <c r="AQ43" s="1634">
        <v>21</v>
      </c>
    </row>
    <row customHeight="1" ht="24">
      <c r="A44" s="1270" t="s">
        <v>207</v>
      </c>
      <c r="B44" s="1270" t="s">
        <v>208</v>
      </c>
      <c r="C44" s="1270" t="s">
        <v>209</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400</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401</v>
      </c>
      <c r="AM44" s="1627"/>
      <c r="AN44" s="1627" t="str">
        <f>IF(T44="","",T44)</f>
        <v>Наименование системы теплоснабжения </v>
      </c>
      <c r="AO44" s="1627"/>
      <c r="AP44" s="1627"/>
      <c r="AQ44" s="1634">
        <v>23</v>
      </c>
    </row>
    <row customHeight="1" ht="22.049999999999997">
      <c r="A45" s="1270" t="s">
        <v>207</v>
      </c>
      <c r="B45" s="1270" t="s">
        <v>208</v>
      </c>
      <c r="C45" s="1270" t="s">
        <v>209</v>
      </c>
      <c r="D45" s="1270" t="s">
        <v>210</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402</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403</v>
      </c>
      <c r="AM45" s="1627"/>
      <c r="AN45" s="1627" t="str">
        <f>IF(T45="","",T45)</f>
        <v>Источник тепловой энергии  </v>
      </c>
      <c r="AO45" s="1627"/>
      <c r="AP45" s="1627"/>
      <c r="AQ45" s="1634">
        <v>21</v>
      </c>
    </row>
    <row s="1645" customFormat="1" customHeight="1" ht="0">
      <c r="A46" s="1378" t="s">
        <v>207</v>
      </c>
      <c r="B46" s="1378" t="s">
        <v>208</v>
      </c>
      <c r="C46" s="1378" t="s">
        <v>209</v>
      </c>
      <c r="D46" s="1378" t="s">
        <v>210</v>
      </c>
      <c r="E46" s="2312"/>
      <c r="F46" s="2312"/>
      <c r="G46" s="2312"/>
      <c r="H46" s="2312"/>
      <c r="I46" s="2149" t="str">
        <f>S45&amp;".1"</f>
        <v>....1</v>
      </c>
      <c r="J46" s="1378"/>
      <c r="K46" s="1378"/>
      <c r="L46" s="1384" t="s">
        <v>404</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207</v>
      </c>
      <c r="B47" s="1378" t="s">
        <v>208</v>
      </c>
      <c r="C47" s="1378" t="s">
        <v>209</v>
      </c>
      <c r="D47" s="1378" t="s">
        <v>210</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207</v>
      </c>
      <c r="B48" s="1270" t="s">
        <v>208</v>
      </c>
      <c r="C48" s="1270" t="s">
        <v>209</v>
      </c>
      <c r="D48" s="1270" t="s">
        <v>210</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62</v>
      </c>
      <c r="Z48" s="1955"/>
      <c r="AA48" s="1942" t="s">
        <v>62</v>
      </c>
      <c r="AB48" s="1964"/>
      <c r="AC48" s="1963" t="s">
        <v>22</v>
      </c>
      <c r="AD48" s="754"/>
      <c r="AE48" s="1260"/>
      <c r="AF48" s="1955"/>
      <c r="AG48" s="1942" t="s">
        <v>62</v>
      </c>
      <c r="AH48" s="1955"/>
      <c r="AI48" s="1942" t="s">
        <v>62</v>
      </c>
      <c r="AJ48" s="1351"/>
      <c r="AK48" s="2275" t="s">
        <v>477</v>
      </c>
      <c r="AL48" s="1639">
        <f>STRCHECKDATE(#REF!)</f>
      </c>
      <c r="AM48" s="1627"/>
      <c r="AN48" s="1627" t="str">
        <f>IF(T48="","",T48)</f>
        <v/>
      </c>
      <c r="AO48" s="1627"/>
      <c r="AP48" s="1627"/>
      <c r="AQ48" s="1634">
        <v>21</v>
      </c>
    </row>
    <row customHeight="1" ht="11.549999999999999">
      <c r="A49" s="1270" t="s">
        <v>207</v>
      </c>
      <c r="B49" s="1270" t="s">
        <v>208</v>
      </c>
      <c r="C49" s="1270" t="s">
        <v>209</v>
      </c>
      <c r="D49" s="1270" t="s">
        <v>210</v>
      </c>
      <c r="E49" s="2312"/>
      <c r="F49" s="2312"/>
      <c r="G49" s="2312"/>
      <c r="H49" s="2312"/>
      <c r="I49" s="2123"/>
      <c r="J49" s="2149"/>
      <c r="K49" s="1270"/>
      <c r="L49" s="1313"/>
      <c r="P49" s="2279"/>
      <c r="Q49" s="2279"/>
      <c r="R49" s="359"/>
      <c r="S49" s="1281"/>
      <c r="T49" s="290" t="s">
        <v>465</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207</v>
      </c>
      <c r="B50" s="1378" t="s">
        <v>208</v>
      </c>
      <c r="C50" s="1378" t="s">
        <v>209</v>
      </c>
      <c r="D50" s="1378" t="s">
        <v>210</v>
      </c>
      <c r="E50" s="2312"/>
      <c r="F50" s="2312"/>
      <c r="G50" s="2312"/>
      <c r="H50" s="2312"/>
      <c r="I50" s="2149"/>
      <c r="J50" s="1378"/>
      <c r="K50" s="1378"/>
      <c r="L50" s="1384"/>
      <c r="M50" s="1249"/>
      <c r="N50" s="1249"/>
      <c r="O50" s="1249"/>
      <c r="P50" s="2279"/>
      <c r="Q50" s="1954"/>
      <c r="R50" s="359"/>
      <c r="S50" s="1389"/>
      <c r="T50" s="1390" t="s">
        <v>413</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207</v>
      </c>
      <c r="B51" s="1378" t="s">
        <v>208</v>
      </c>
      <c r="C51" s="1378" t="s">
        <v>209</v>
      </c>
      <c r="D51" s="1378" t="s">
        <v>210</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207</v>
      </c>
      <c r="B52" s="1378" t="s">
        <v>208</v>
      </c>
      <c r="C52" s="1378" t="s">
        <v>209</v>
      </c>
      <c r="D52" s="1377"/>
      <c r="E52" s="2312"/>
      <c r="F52" s="2312"/>
      <c r="G52" s="2311"/>
      <c r="H52" s="1377"/>
      <c r="I52" s="1377"/>
      <c r="J52" s="1377"/>
      <c r="K52" s="1377"/>
      <c r="L52" s="1380"/>
      <c r="M52" s="1381"/>
      <c r="N52" s="1381"/>
      <c r="O52" s="35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207</v>
      </c>
      <c r="B53" s="1378" t="s">
        <v>208</v>
      </c>
      <c r="C53" s="1377"/>
      <c r="D53" s="1377"/>
      <c r="E53" s="2312"/>
      <c r="F53" s="2311"/>
      <c r="G53" s="1377"/>
      <c r="H53" s="1377"/>
      <c r="I53" s="1377"/>
      <c r="J53" s="1377"/>
      <c r="K53" s="1377"/>
      <c r="L53" s="1380"/>
      <c r="M53" s="1382"/>
      <c r="N53" s="1382"/>
      <c r="O53" s="354"/>
      <c r="P53" s="1319"/>
      <c r="Q53" s="1320"/>
      <c r="R53" s="1319"/>
      <c r="S53" s="1325"/>
      <c r="T53" s="1328" t="s">
        <v>416</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207</v>
      </c>
      <c r="B54" s="1378"/>
      <c r="C54" s="1378"/>
      <c r="D54" s="1378"/>
      <c r="E54" s="2312"/>
      <c r="F54" s="1378"/>
      <c r="G54" s="1378"/>
      <c r="H54" s="1378"/>
      <c r="I54" s="1378"/>
      <c r="J54" s="1378"/>
      <c r="K54" s="1378"/>
      <c r="L54" s="1384"/>
      <c r="M54" s="1382"/>
      <c r="N54" s="1382"/>
      <c r="O54" s="354"/>
      <c r="P54" s="383"/>
      <c r="Q54" s="1347"/>
      <c r="R54" s="383"/>
      <c r="S54" s="1325"/>
      <c r="T54" s="1328" t="s">
        <v>417</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207</v>
      </c>
      <c r="B55" s="1378"/>
      <c r="C55" s="1378"/>
      <c r="D55" s="1378"/>
      <c r="E55" s="2311"/>
      <c r="F55" s="1378"/>
      <c r="G55" s="1378"/>
      <c r="H55" s="1378"/>
      <c r="I55" s="1378"/>
      <c r="J55" s="1378"/>
      <c r="K55" s="1378"/>
      <c r="L55" s="1384"/>
      <c r="M55" s="1382"/>
      <c r="N55" s="1382"/>
      <c r="O55" s="354"/>
      <c r="P55" s="383"/>
      <c r="Q55" s="1347"/>
      <c r="R55" s="383"/>
      <c r="S55" s="1325"/>
      <c r="T55" s="1328" t="s">
        <v>417</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A195C-9365-EC2D-58EC-0.42309F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126</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398</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399</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480</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482</v>
      </c>
      <c r="U5" s="303"/>
      <c r="V5" s="2372"/>
      <c r="W5" s="2373"/>
      <c r="X5" s="2373"/>
      <c r="Y5" s="2373"/>
      <c r="Z5" s="2373"/>
      <c r="AA5" s="2373"/>
      <c r="AB5" s="2374"/>
      <c r="AC5" s="2375"/>
      <c r="AD5" s="2376"/>
      <c r="AE5" s="2376"/>
      <c r="AF5" s="2376"/>
      <c r="AG5" s="2376"/>
      <c r="AH5" s="2376"/>
      <c r="AI5" s="2376"/>
      <c r="AJ5" s="2377"/>
      <c r="AK5" s="1261" t="s">
        <v>483</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407</v>
      </c>
      <c r="P6" s="2279"/>
      <c r="Q6" s="2279">
        <v>1</v>
      </c>
      <c r="R6" s="360"/>
      <c r="S6" s="1428">
        <f>$J6</f>
      </c>
      <c r="T6" s="289" t="s">
        <v>408</v>
      </c>
      <c r="U6" s="303"/>
      <c r="V6" s="2267"/>
      <c r="W6" s="2268"/>
      <c r="X6" s="2268"/>
      <c r="Y6" s="2268"/>
      <c r="Z6" s="2268"/>
      <c r="AA6" s="2268"/>
      <c r="AB6" s="2269"/>
      <c r="AC6" s="2267"/>
      <c r="AD6" s="2268"/>
      <c r="AE6" s="2268"/>
      <c r="AF6" s="2268"/>
      <c r="AG6" s="2268"/>
      <c r="AH6" s="2268"/>
      <c r="AI6" s="2268"/>
      <c r="AJ6" s="2269"/>
      <c r="AK6" s="1310" t="s">
        <v>484</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301</v>
      </c>
      <c r="T36" s="2149"/>
      <c r="U36" s="2149"/>
      <c r="V36" s="2149"/>
      <c r="W36" s="2149"/>
      <c r="X36" s="2149"/>
      <c r="Y36" s="2149"/>
      <c r="Z36" s="2149"/>
      <c r="AA36" s="2149"/>
      <c r="AB36" s="2149"/>
      <c r="AC36" s="2149"/>
      <c r="AD36" s="2149"/>
      <c r="AE36" s="2149"/>
      <c r="AF36" s="2149"/>
      <c r="AG36" s="2149"/>
      <c r="AH36" s="2149"/>
      <c r="AI36" s="2149"/>
      <c r="AJ36" s="2149"/>
      <c r="AK36" s="2149" t="s">
        <v>302</v>
      </c>
      <c r="AQ36" s="1158">
        <v>14</v>
      </c>
    </row>
    <row customHeight="1" ht="14.699999999999998">
      <c r="Q37" s="379"/>
      <c r="R37" s="379"/>
      <c r="S37" s="2295" t="s">
        <v>88</v>
      </c>
      <c r="T37" s="2231" t="s">
        <v>425</v>
      </c>
      <c r="U37" s="304"/>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58">
        <v>14</v>
      </c>
    </row>
    <row customHeight="1" ht="35.699999999999996">
      <c r="Q38" s="379"/>
      <c r="R38" s="379"/>
      <c r="S38" s="2295"/>
      <c r="T38" s="2231"/>
      <c r="U38" s="1034"/>
      <c r="V38" s="1355" t="s">
        <v>488</v>
      </c>
      <c r="W38" s="2284" t="s">
        <v>432</v>
      </c>
      <c r="X38" s="2285"/>
      <c r="Y38" s="2284" t="s">
        <v>433</v>
      </c>
      <c r="Z38" s="2291"/>
      <c r="AA38" s="2285"/>
      <c r="AB38" s="2300"/>
      <c r="AC38" s="1355" t="s">
        <v>488</v>
      </c>
      <c r="AD38" s="2284" t="s">
        <v>432</v>
      </c>
      <c r="AE38" s="2285"/>
      <c r="AF38" s="2284" t="s">
        <v>433</v>
      </c>
      <c r="AG38" s="2291"/>
      <c r="AH38" s="2285"/>
      <c r="AI38" s="2300"/>
      <c r="AJ38" s="2303"/>
      <c r="AK38" s="2149"/>
      <c r="AQ38" s="1158">
        <v>34</v>
      </c>
    </row>
    <row customHeight="1" ht="35.699999999999996">
      <c r="A39" s="1373"/>
      <c r="B39" s="1373" t="s">
        <v>138</v>
      </c>
      <c r="C39" s="1373" t="s">
        <v>139</v>
      </c>
      <c r="D39" s="1373" t="s">
        <v>140</v>
      </c>
      <c r="E39" s="1367" t="s">
        <v>434</v>
      </c>
      <c r="F39" s="1367" t="s">
        <v>435</v>
      </c>
      <c r="G39" s="1367" t="s">
        <v>436</v>
      </c>
      <c r="H39" s="1367"/>
      <c r="I39" s="1367" t="s">
        <v>489</v>
      </c>
      <c r="J39" s="1367" t="s">
        <v>439</v>
      </c>
      <c r="K39" s="1367" t="s">
        <v>490</v>
      </c>
      <c r="L39" s="1367" t="s">
        <v>419</v>
      </c>
      <c r="Q39" s="379"/>
      <c r="R39" s="379"/>
      <c r="S39" s="2295"/>
      <c r="T39" s="2231"/>
      <c r="U39" s="305"/>
      <c r="V39" s="1355" t="s">
        <v>491</v>
      </c>
      <c r="W39" s="1225" t="s">
        <v>492</v>
      </c>
      <c r="X39" s="1225" t="s">
        <v>493</v>
      </c>
      <c r="Y39" s="1360" t="s">
        <v>443</v>
      </c>
      <c r="Z39" s="2292" t="s">
        <v>444</v>
      </c>
      <c r="AA39" s="2293"/>
      <c r="AB39" s="2301"/>
      <c r="AC39" s="1355" t="s">
        <v>491</v>
      </c>
      <c r="AD39" s="1225" t="s">
        <v>492</v>
      </c>
      <c r="AE39" s="1225" t="s">
        <v>493</v>
      </c>
      <c r="AF39" s="1360" t="s">
        <v>443</v>
      </c>
      <c r="AG39" s="2292" t="s">
        <v>444</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99</v>
      </c>
      <c r="T40" s="1258" t="s">
        <v>109</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227</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126</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227</v>
      </c>
      <c r="B42" s="1366" t="s">
        <v>228</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398</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399</v>
      </c>
      <c r="AM42" s="503"/>
      <c r="AN42" s="503" t="str">
        <f>IF(T42="","",T42)</f>
        <v>Территория действия тарифа</v>
      </c>
      <c r="AO42" s="503"/>
      <c r="AP42" s="503"/>
      <c r="AQ42" s="1158">
        <v>23</v>
      </c>
    </row>
    <row customHeight="1" ht="24">
      <c r="A43" s="1366" t="s">
        <v>227</v>
      </c>
      <c r="B43" s="1366" t="s">
        <v>228</v>
      </c>
      <c r="C43" s="1366" t="s">
        <v>229</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227</v>
      </c>
      <c r="B44" s="1366" t="s">
        <v>228</v>
      </c>
      <c r="C44" s="1366" t="s">
        <v>229</v>
      </c>
      <c r="D44" s="1366" t="s">
        <v>494</v>
      </c>
      <c r="E44" s="2281"/>
      <c r="F44" s="2281"/>
      <c r="G44" s="2281"/>
      <c r="H44" s="2281"/>
      <c r="I44" s="2278" t="str">
        <f>S43&amp;".1"</f>
        <v>...1</v>
      </c>
      <c r="J44" s="1366"/>
      <c r="K44" s="1366"/>
      <c r="L44" s="1367"/>
      <c r="P44" s="2279">
        <v>1</v>
      </c>
      <c r="Q44" s="1357"/>
      <c r="R44" s="359"/>
      <c r="S44" s="1361" t="str">
        <f>$I44</f>
        <v>...1</v>
      </c>
      <c r="T44" s="288" t="s">
        <v>482</v>
      </c>
      <c r="U44" s="303"/>
      <c r="V44" s="2372"/>
      <c r="W44" s="2373"/>
      <c r="X44" s="2373"/>
      <c r="Y44" s="2373"/>
      <c r="Z44" s="2373"/>
      <c r="AA44" s="2373"/>
      <c r="AB44" s="2374"/>
      <c r="AC44" s="2375"/>
      <c r="AD44" s="2376"/>
      <c r="AE44" s="2376"/>
      <c r="AF44" s="2376"/>
      <c r="AG44" s="2376"/>
      <c r="AH44" s="2376"/>
      <c r="AI44" s="2376"/>
      <c r="AJ44" s="2377"/>
      <c r="AK44" s="1261" t="s">
        <v>483</v>
      </c>
      <c r="AM44" s="503"/>
      <c r="AN44" s="503" t="str">
        <f>IF(T44="","",T44)</f>
        <v>Наименование признака дифференциации</v>
      </c>
      <c r="AO44" s="503"/>
      <c r="AP44" s="503"/>
      <c r="AQ44" s="1158">
        <v>23</v>
      </c>
    </row>
    <row customHeight="1" ht="24">
      <c r="A45" s="1366" t="s">
        <v>227</v>
      </c>
      <c r="B45" s="1366" t="s">
        <v>228</v>
      </c>
      <c r="C45" s="1366" t="s">
        <v>229</v>
      </c>
      <c r="D45" s="1366" t="s">
        <v>494</v>
      </c>
      <c r="E45" s="2281"/>
      <c r="F45" s="2281"/>
      <c r="G45" s="2281"/>
      <c r="H45" s="2281"/>
      <c r="I45" s="2308"/>
      <c r="J45" s="2278" t="str">
        <f>I44&amp;".1"</f>
        <v>...1.1</v>
      </c>
      <c r="K45" s="1366"/>
      <c r="L45" s="1367" t="s">
        <v>407</v>
      </c>
      <c r="P45" s="2279"/>
      <c r="Q45" s="2279">
        <v>1</v>
      </c>
      <c r="R45" s="360"/>
      <c r="S45" s="1361" t="str">
        <f>$J45</f>
        <v>...1.1</v>
      </c>
      <c r="T45" s="289" t="s">
        <v>408</v>
      </c>
      <c r="U45" s="303"/>
      <c r="V45" s="2267"/>
      <c r="W45" s="2268"/>
      <c r="X45" s="2268"/>
      <c r="Y45" s="2268"/>
      <c r="Z45" s="2268"/>
      <c r="AA45" s="2268"/>
      <c r="AB45" s="2269"/>
      <c r="AC45" s="2267"/>
      <c r="AD45" s="2268"/>
      <c r="AE45" s="2268"/>
      <c r="AF45" s="2268"/>
      <c r="AG45" s="2268"/>
      <c r="AH45" s="2268"/>
      <c r="AI45" s="2268"/>
      <c r="AJ45" s="2269"/>
      <c r="AK45" s="1310" t="s">
        <v>484</v>
      </c>
      <c r="AM45" s="503"/>
      <c r="AN45" s="503" t="str">
        <f>IF(T45="","",T45)</f>
        <v>Группа потребителей</v>
      </c>
      <c r="AO45" s="503"/>
      <c r="AP45" s="503"/>
      <c r="AQ45" s="1158">
        <v>23</v>
      </c>
    </row>
    <row customHeight="1" ht="24">
      <c r="A46" s="1366" t="s">
        <v>227</v>
      </c>
      <c r="B46" s="1366" t="s">
        <v>228</v>
      </c>
      <c r="C46" s="1366" t="s">
        <v>229</v>
      </c>
      <c r="D46" s="1366" t="s">
        <v>494</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227</v>
      </c>
      <c r="B47" s="1366" t="s">
        <v>228</v>
      </c>
      <c r="C47" s="1366" t="s">
        <v>229</v>
      </c>
      <c r="D47" s="1366" t="s">
        <v>494</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227</v>
      </c>
      <c r="B48" s="1366" t="s">
        <v>228</v>
      </c>
      <c r="C48" s="1366" t="s">
        <v>229</v>
      </c>
      <c r="D48" s="1366" t="s">
        <v>494</v>
      </c>
      <c r="E48" s="2281"/>
      <c r="F48" s="2281"/>
      <c r="G48" s="2281"/>
      <c r="H48" s="2281"/>
      <c r="I48" s="2308"/>
      <c r="J48" s="2278"/>
      <c r="K48" s="1366"/>
      <c r="L48" s="1367"/>
      <c r="P48" s="2279"/>
      <c r="Q48" s="2279"/>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227</v>
      </c>
      <c r="B49" s="1366" t="s">
        <v>228</v>
      </c>
      <c r="C49" s="1366" t="s">
        <v>229</v>
      </c>
      <c r="D49" s="1366" t="s">
        <v>494</v>
      </c>
      <c r="E49" s="2281"/>
      <c r="F49" s="2281"/>
      <c r="G49" s="2281"/>
      <c r="H49" s="2281"/>
      <c r="I49" s="2278"/>
      <c r="J49" s="1366"/>
      <c r="K49" s="1366"/>
      <c r="L49" s="1367"/>
      <c r="P49" s="2279"/>
      <c r="Q49" s="1357"/>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227</v>
      </c>
      <c r="B50" s="1366" t="s">
        <v>228</v>
      </c>
      <c r="C50" s="1366" t="s">
        <v>229</v>
      </c>
      <c r="D50" s="1366" t="s">
        <v>494</v>
      </c>
      <c r="E50" s="2281"/>
      <c r="F50" s="2281"/>
      <c r="G50" s="2281"/>
      <c r="H50" s="2280"/>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227</v>
      </c>
      <c r="B51" s="1346" t="s">
        <v>228</v>
      </c>
      <c r="C51" s="1317"/>
      <c r="D51" s="1317"/>
      <c r="E51" s="2281"/>
      <c r="F51" s="2280"/>
      <c r="G51" s="1317"/>
      <c r="H51" s="1317"/>
      <c r="I51" s="1317"/>
      <c r="J51" s="1317"/>
      <c r="K51" s="1317"/>
      <c r="L51" s="1429"/>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227</v>
      </c>
      <c r="B52" s="1346"/>
      <c r="C52" s="1346"/>
      <c r="D52" s="1346"/>
      <c r="E52" s="2280"/>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A8261-53AB-BFF9-BEC6-0.0AA2E6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398</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399</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480</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482</v>
      </c>
      <c r="U5" s="303"/>
      <c r="V5" s="2372"/>
      <c r="W5" s="2373"/>
      <c r="X5" s="2373"/>
      <c r="Y5" s="2373"/>
      <c r="Z5" s="2373"/>
      <c r="AA5" s="2373"/>
      <c r="AB5" s="2374"/>
      <c r="AC5" s="2375"/>
      <c r="AD5" s="2376"/>
      <c r="AE5" s="2376"/>
      <c r="AF5" s="2376"/>
      <c r="AG5" s="2376"/>
      <c r="AH5" s="2376"/>
      <c r="AI5" s="2376"/>
      <c r="AJ5" s="2377"/>
      <c r="AK5" s="1261" t="s">
        <v>483</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407</v>
      </c>
      <c r="P6" s="2279"/>
      <c r="Q6" s="2279">
        <v>1</v>
      </c>
      <c r="R6" s="360"/>
      <c r="S6" s="1460">
        <f>$J6</f>
      </c>
      <c r="T6" s="289" t="s">
        <v>408</v>
      </c>
      <c r="U6" s="303"/>
      <c r="V6" s="2267"/>
      <c r="W6" s="2268"/>
      <c r="X6" s="2268"/>
      <c r="Y6" s="2268"/>
      <c r="Z6" s="2268"/>
      <c r="AA6" s="2268"/>
      <c r="AB6" s="2269"/>
      <c r="AC6" s="2267"/>
      <c r="AD6" s="2268"/>
      <c r="AE6" s="2268"/>
      <c r="AF6" s="2268"/>
      <c r="AG6" s="2268"/>
      <c r="AH6" s="2268"/>
      <c r="AI6" s="2268"/>
      <c r="AJ6" s="2269"/>
      <c r="AK6" s="1310" t="s">
        <v>484</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301</v>
      </c>
      <c r="T36" s="2149"/>
      <c r="U36" s="2149"/>
      <c r="V36" s="2149"/>
      <c r="W36" s="2149"/>
      <c r="X36" s="2149"/>
      <c r="Y36" s="2149"/>
      <c r="Z36" s="2149"/>
      <c r="AA36" s="2149"/>
      <c r="AB36" s="2149"/>
      <c r="AC36" s="2149"/>
      <c r="AD36" s="2149"/>
      <c r="AE36" s="2149"/>
      <c r="AF36" s="2149"/>
      <c r="AG36" s="2149"/>
      <c r="AH36" s="2149"/>
      <c r="AI36" s="2149"/>
      <c r="AJ36" s="2149"/>
      <c r="AK36" s="2149" t="s">
        <v>302</v>
      </c>
      <c r="AQ36" s="1158">
        <v>14</v>
      </c>
    </row>
    <row customHeight="1" ht="14.699999999999998">
      <c r="Q37" s="379"/>
      <c r="R37" s="379"/>
      <c r="S37" s="2295" t="s">
        <v>88</v>
      </c>
      <c r="T37" s="2231" t="s">
        <v>425</v>
      </c>
      <c r="U37" s="304"/>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58">
        <v>14</v>
      </c>
    </row>
    <row customHeight="1" ht="35.699999999999996">
      <c r="Q38" s="379"/>
      <c r="R38" s="379"/>
      <c r="S38" s="2295"/>
      <c r="T38" s="2231"/>
      <c r="U38" s="1034"/>
      <c r="V38" s="1455" t="s">
        <v>488</v>
      </c>
      <c r="W38" s="2284" t="s">
        <v>432</v>
      </c>
      <c r="X38" s="2285"/>
      <c r="Y38" s="2284" t="s">
        <v>433</v>
      </c>
      <c r="Z38" s="2291"/>
      <c r="AA38" s="2285"/>
      <c r="AB38" s="2300"/>
      <c r="AC38" s="1455" t="s">
        <v>488</v>
      </c>
      <c r="AD38" s="2284" t="s">
        <v>432</v>
      </c>
      <c r="AE38" s="2285"/>
      <c r="AF38" s="2284" t="s">
        <v>433</v>
      </c>
      <c r="AG38" s="2291"/>
      <c r="AH38" s="2285"/>
      <c r="AI38" s="2300"/>
      <c r="AJ38" s="2303"/>
      <c r="AK38" s="2149"/>
      <c r="AQ38" s="1158">
        <v>34</v>
      </c>
    </row>
    <row customHeight="1" ht="35.699999999999996">
      <c r="A39" s="1373"/>
      <c r="B39" s="1373" t="s">
        <v>138</v>
      </c>
      <c r="C39" s="1373" t="s">
        <v>139</v>
      </c>
      <c r="D39" s="1373" t="s">
        <v>140</v>
      </c>
      <c r="E39" s="1367" t="s">
        <v>434</v>
      </c>
      <c r="F39" s="1367" t="s">
        <v>435</v>
      </c>
      <c r="G39" s="1367" t="s">
        <v>436</v>
      </c>
      <c r="H39" s="1367"/>
      <c r="I39" s="1367" t="s">
        <v>489</v>
      </c>
      <c r="J39" s="1367" t="s">
        <v>439</v>
      </c>
      <c r="K39" s="1367" t="s">
        <v>490</v>
      </c>
      <c r="L39" s="1367" t="s">
        <v>419</v>
      </c>
      <c r="Q39" s="379"/>
      <c r="R39" s="379"/>
      <c r="S39" s="2295"/>
      <c r="T39" s="2231"/>
      <c r="U39" s="305"/>
      <c r="V39" s="1455" t="s">
        <v>491</v>
      </c>
      <c r="W39" s="1225" t="s">
        <v>492</v>
      </c>
      <c r="X39" s="1225" t="s">
        <v>493</v>
      </c>
      <c r="Y39" s="1458" t="s">
        <v>443</v>
      </c>
      <c r="Z39" s="2292" t="s">
        <v>444</v>
      </c>
      <c r="AA39" s="2293"/>
      <c r="AB39" s="2301"/>
      <c r="AC39" s="1455" t="s">
        <v>491</v>
      </c>
      <c r="AD39" s="1225" t="s">
        <v>492</v>
      </c>
      <c r="AE39" s="1225" t="s">
        <v>493</v>
      </c>
      <c r="AF39" s="1458" t="s">
        <v>443</v>
      </c>
      <c r="AG39" s="2292" t="s">
        <v>444</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99</v>
      </c>
      <c r="T40" s="1258" t="s">
        <v>109</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232</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399</v>
      </c>
      <c r="AM42" s="503"/>
      <c r="AN42" s="503" t="str">
        <f>IF(T42="","",T42)</f>
        <v>Территория действия тарифа</v>
      </c>
      <c r="AO42" s="503"/>
      <c r="AP42" s="503"/>
      <c r="AQ42" s="1158">
        <v>23</v>
      </c>
    </row>
    <row customHeight="1" ht="24">
      <c r="A43" s="1366" t="s">
        <v>232</v>
      </c>
      <c r="B43" s="1366" t="s">
        <v>233</v>
      </c>
      <c r="C43" s="1366" t="s">
        <v>234</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495</v>
      </c>
      <c r="E44" s="2281"/>
      <c r="F44" s="2281"/>
      <c r="G44" s="2281"/>
      <c r="H44" s="2281"/>
      <c r="I44" s="2278" t="str">
        <f>S43&amp;".1"</f>
        <v>...1</v>
      </c>
      <c r="J44" s="1366"/>
      <c r="K44" s="1366"/>
      <c r="L44" s="1367"/>
      <c r="P44" s="2279">
        <v>1</v>
      </c>
      <c r="Q44" s="1453"/>
      <c r="R44" s="359"/>
      <c r="S44" s="1460" t="str">
        <f>$I44</f>
        <v>...1</v>
      </c>
      <c r="T44" s="288" t="s">
        <v>482</v>
      </c>
      <c r="U44" s="303"/>
      <c r="V44" s="2372"/>
      <c r="W44" s="2373"/>
      <c r="X44" s="2373"/>
      <c r="Y44" s="2373"/>
      <c r="Z44" s="2373"/>
      <c r="AA44" s="2373"/>
      <c r="AB44" s="2374"/>
      <c r="AC44" s="2375"/>
      <c r="AD44" s="2376"/>
      <c r="AE44" s="2376"/>
      <c r="AF44" s="2376"/>
      <c r="AG44" s="2376"/>
      <c r="AH44" s="2376"/>
      <c r="AI44" s="2376"/>
      <c r="AJ44" s="2377"/>
      <c r="AK44" s="1261" t="s">
        <v>483</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495</v>
      </c>
      <c r="E45" s="2281"/>
      <c r="F45" s="2281"/>
      <c r="G45" s="2281"/>
      <c r="H45" s="2281"/>
      <c r="I45" s="2308"/>
      <c r="J45" s="2278" t="str">
        <f>I44&amp;".1"</f>
        <v>...1.1</v>
      </c>
      <c r="K45" s="1366"/>
      <c r="L45" s="1367" t="s">
        <v>407</v>
      </c>
      <c r="P45" s="2279"/>
      <c r="Q45" s="2279">
        <v>1</v>
      </c>
      <c r="R45" s="360"/>
      <c r="S45" s="1460" t="str">
        <f>$J45</f>
        <v>...1.1</v>
      </c>
      <c r="T45" s="289" t="s">
        <v>408</v>
      </c>
      <c r="U45" s="303"/>
      <c r="V45" s="2267"/>
      <c r="W45" s="2268"/>
      <c r="X45" s="2268"/>
      <c r="Y45" s="2268"/>
      <c r="Z45" s="2268"/>
      <c r="AA45" s="2268"/>
      <c r="AB45" s="2269"/>
      <c r="AC45" s="2267"/>
      <c r="AD45" s="2268"/>
      <c r="AE45" s="2268"/>
      <c r="AF45" s="2268"/>
      <c r="AG45" s="2268"/>
      <c r="AH45" s="2268"/>
      <c r="AI45" s="2268"/>
      <c r="AJ45" s="2269"/>
      <c r="AK45" s="1310" t="s">
        <v>484</v>
      </c>
      <c r="AM45" s="503"/>
      <c r="AN45" s="503" t="str">
        <f>IF(T45="","",T45)</f>
        <v>Группа потребителей</v>
      </c>
      <c r="AO45" s="503"/>
      <c r="AP45" s="503"/>
      <c r="AQ45" s="1158">
        <v>23</v>
      </c>
    </row>
    <row customHeight="1" ht="24">
      <c r="A46" s="1366" t="s">
        <v>232</v>
      </c>
      <c r="B46" s="1366" t="s">
        <v>233</v>
      </c>
      <c r="C46" s="1366" t="s">
        <v>234</v>
      </c>
      <c r="D46" s="1366" t="s">
        <v>495</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495</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232</v>
      </c>
      <c r="B48" s="1366" t="s">
        <v>233</v>
      </c>
      <c r="C48" s="1366" t="s">
        <v>234</v>
      </c>
      <c r="D48" s="1366" t="s">
        <v>495</v>
      </c>
      <c r="E48" s="2281"/>
      <c r="F48" s="2281"/>
      <c r="G48" s="2281"/>
      <c r="H48" s="2281"/>
      <c r="I48" s="2308"/>
      <c r="J48" s="2278"/>
      <c r="K48" s="1366"/>
      <c r="L48" s="1367"/>
      <c r="P48" s="2279"/>
      <c r="Q48" s="2279"/>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495</v>
      </c>
      <c r="E49" s="2281"/>
      <c r="F49" s="2281"/>
      <c r="G49" s="2281"/>
      <c r="H49" s="2281"/>
      <c r="I49" s="2278"/>
      <c r="J49" s="1366"/>
      <c r="K49" s="1366"/>
      <c r="L49" s="1367"/>
      <c r="P49" s="2279"/>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495</v>
      </c>
      <c r="E50" s="2281"/>
      <c r="F50" s="2281"/>
      <c r="G50" s="2281"/>
      <c r="H50" s="2280"/>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81"/>
      <c r="F51" s="2280"/>
      <c r="G51" s="1317"/>
      <c r="H51" s="1317"/>
      <c r="I51" s="1317"/>
      <c r="J51" s="1317"/>
      <c r="K51" s="1317"/>
      <c r="L51" s="1461"/>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80"/>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2A002-5524-637C-23B4-0.C12ECF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398</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399</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480</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482</v>
      </c>
      <c r="U5" s="303"/>
      <c r="V5" s="2372"/>
      <c r="W5" s="2373"/>
      <c r="X5" s="2373"/>
      <c r="Y5" s="2373"/>
      <c r="Z5" s="2373"/>
      <c r="AA5" s="2373"/>
      <c r="AB5" s="2374"/>
      <c r="AC5" s="2375"/>
      <c r="AD5" s="2376"/>
      <c r="AE5" s="2376"/>
      <c r="AF5" s="2376"/>
      <c r="AG5" s="2376"/>
      <c r="AH5" s="2376"/>
      <c r="AI5" s="2376"/>
      <c r="AJ5" s="2377"/>
      <c r="AK5" s="1261" t="s">
        <v>483</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407</v>
      </c>
      <c r="P6" s="2279"/>
      <c r="Q6" s="2279">
        <v>1</v>
      </c>
      <c r="R6" s="360"/>
      <c r="S6" s="1460">
        <f>$J6</f>
      </c>
      <c r="T6" s="289" t="s">
        <v>408</v>
      </c>
      <c r="U6" s="303"/>
      <c r="V6" s="2267"/>
      <c r="W6" s="2268"/>
      <c r="X6" s="2268"/>
      <c r="Y6" s="2268"/>
      <c r="Z6" s="2268"/>
      <c r="AA6" s="2268"/>
      <c r="AB6" s="2269"/>
      <c r="AC6" s="2267"/>
      <c r="AD6" s="2268"/>
      <c r="AE6" s="2268"/>
      <c r="AF6" s="2268"/>
      <c r="AG6" s="2268"/>
      <c r="AH6" s="2268"/>
      <c r="AI6" s="2268"/>
      <c r="AJ6" s="2269"/>
      <c r="AK6" s="1310" t="s">
        <v>484</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301</v>
      </c>
      <c r="T36" s="2149"/>
      <c r="U36" s="2149"/>
      <c r="V36" s="2149"/>
      <c r="W36" s="2149"/>
      <c r="X36" s="2149"/>
      <c r="Y36" s="2149"/>
      <c r="Z36" s="2149"/>
      <c r="AA36" s="2149"/>
      <c r="AB36" s="2149"/>
      <c r="AC36" s="2149"/>
      <c r="AD36" s="2149"/>
      <c r="AE36" s="2149"/>
      <c r="AF36" s="2149"/>
      <c r="AG36" s="2149"/>
      <c r="AH36" s="2149"/>
      <c r="AI36" s="2149"/>
      <c r="AJ36" s="2149"/>
      <c r="AK36" s="2149" t="s">
        <v>302</v>
      </c>
      <c r="AQ36" s="1158">
        <v>14</v>
      </c>
    </row>
    <row customHeight="1" ht="14.699999999999998">
      <c r="Q37" s="379"/>
      <c r="R37" s="379"/>
      <c r="S37" s="2295" t="s">
        <v>88</v>
      </c>
      <c r="T37" s="2231" t="s">
        <v>425</v>
      </c>
      <c r="U37" s="304"/>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58">
        <v>14</v>
      </c>
    </row>
    <row customHeight="1" ht="35.699999999999996">
      <c r="Q38" s="379"/>
      <c r="R38" s="379"/>
      <c r="S38" s="2295"/>
      <c r="T38" s="2231"/>
      <c r="U38" s="1034"/>
      <c r="V38" s="1455" t="s">
        <v>488</v>
      </c>
      <c r="W38" s="2284" t="s">
        <v>432</v>
      </c>
      <c r="X38" s="2285"/>
      <c r="Y38" s="2284" t="s">
        <v>433</v>
      </c>
      <c r="Z38" s="2291"/>
      <c r="AA38" s="2285"/>
      <c r="AB38" s="2300"/>
      <c r="AC38" s="1455" t="s">
        <v>488</v>
      </c>
      <c r="AD38" s="2284" t="s">
        <v>432</v>
      </c>
      <c r="AE38" s="2285"/>
      <c r="AF38" s="2284" t="s">
        <v>433</v>
      </c>
      <c r="AG38" s="2291"/>
      <c r="AH38" s="2285"/>
      <c r="AI38" s="2300"/>
      <c r="AJ38" s="2303"/>
      <c r="AK38" s="2149"/>
      <c r="AQ38" s="1158">
        <v>34</v>
      </c>
    </row>
    <row customHeight="1" ht="35.699999999999996">
      <c r="A39" s="1373"/>
      <c r="B39" s="1373" t="s">
        <v>138</v>
      </c>
      <c r="C39" s="1373" t="s">
        <v>139</v>
      </c>
      <c r="D39" s="1373" t="s">
        <v>140</v>
      </c>
      <c r="E39" s="1367" t="s">
        <v>434</v>
      </c>
      <c r="F39" s="1367" t="s">
        <v>435</v>
      </c>
      <c r="G39" s="1367" t="s">
        <v>436</v>
      </c>
      <c r="H39" s="1367"/>
      <c r="I39" s="1367" t="s">
        <v>489</v>
      </c>
      <c r="J39" s="1367" t="s">
        <v>439</v>
      </c>
      <c r="K39" s="1367" t="s">
        <v>490</v>
      </c>
      <c r="L39" s="1367" t="s">
        <v>419</v>
      </c>
      <c r="Q39" s="379"/>
      <c r="R39" s="379"/>
      <c r="S39" s="2295"/>
      <c r="T39" s="2231"/>
      <c r="U39" s="305"/>
      <c r="V39" s="1455" t="s">
        <v>491</v>
      </c>
      <c r="W39" s="1225" t="s">
        <v>492</v>
      </c>
      <c r="X39" s="1225" t="s">
        <v>493</v>
      </c>
      <c r="Y39" s="1458" t="s">
        <v>443</v>
      </c>
      <c r="Z39" s="2292" t="s">
        <v>444</v>
      </c>
      <c r="AA39" s="2293"/>
      <c r="AB39" s="2301"/>
      <c r="AC39" s="1455" t="s">
        <v>491</v>
      </c>
      <c r="AD39" s="1225" t="s">
        <v>492</v>
      </c>
      <c r="AE39" s="1225" t="s">
        <v>493</v>
      </c>
      <c r="AF39" s="1458" t="s">
        <v>443</v>
      </c>
      <c r="AG39" s="2292" t="s">
        <v>444</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99</v>
      </c>
      <c r="T40" s="1258" t="s">
        <v>109</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399</v>
      </c>
      <c r="AM42" s="503"/>
      <c r="AN42" s="503" t="str">
        <f>IF(T42="","",T42)</f>
        <v>Территория действия тарифа</v>
      </c>
      <c r="AO42" s="503"/>
      <c r="AP42" s="503"/>
      <c r="AQ42" s="1158">
        <v>23</v>
      </c>
    </row>
    <row customHeight="1" ht="24">
      <c r="A43" s="1366" t="s">
        <v>237</v>
      </c>
      <c r="B43" s="1366" t="s">
        <v>238</v>
      </c>
      <c r="C43" s="1366" t="s">
        <v>239</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496</v>
      </c>
      <c r="E44" s="2281"/>
      <c r="F44" s="2281"/>
      <c r="G44" s="2281"/>
      <c r="H44" s="2281"/>
      <c r="I44" s="2278" t="str">
        <f>S43&amp;".1"</f>
        <v>...1</v>
      </c>
      <c r="J44" s="1366"/>
      <c r="K44" s="1366"/>
      <c r="L44" s="1367"/>
      <c r="P44" s="2279">
        <v>1</v>
      </c>
      <c r="Q44" s="1453"/>
      <c r="R44" s="359"/>
      <c r="S44" s="1460" t="str">
        <f>$I44</f>
        <v>...1</v>
      </c>
      <c r="T44" s="288" t="s">
        <v>482</v>
      </c>
      <c r="U44" s="303"/>
      <c r="V44" s="2372"/>
      <c r="W44" s="2373"/>
      <c r="X44" s="2373"/>
      <c r="Y44" s="2373"/>
      <c r="Z44" s="2373"/>
      <c r="AA44" s="2373"/>
      <c r="AB44" s="2374"/>
      <c r="AC44" s="2375"/>
      <c r="AD44" s="2376"/>
      <c r="AE44" s="2376"/>
      <c r="AF44" s="2376"/>
      <c r="AG44" s="2376"/>
      <c r="AH44" s="2376"/>
      <c r="AI44" s="2376"/>
      <c r="AJ44" s="2377"/>
      <c r="AK44" s="1261" t="s">
        <v>483</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496</v>
      </c>
      <c r="E45" s="2281"/>
      <c r="F45" s="2281"/>
      <c r="G45" s="2281"/>
      <c r="H45" s="2281"/>
      <c r="I45" s="2308"/>
      <c r="J45" s="2278" t="str">
        <f>I44&amp;".1"</f>
        <v>...1.1</v>
      </c>
      <c r="K45" s="1366"/>
      <c r="L45" s="1367" t="s">
        <v>407</v>
      </c>
      <c r="P45" s="2279"/>
      <c r="Q45" s="2279">
        <v>1</v>
      </c>
      <c r="R45" s="360"/>
      <c r="S45" s="1460" t="str">
        <f>$J45</f>
        <v>...1.1</v>
      </c>
      <c r="T45" s="289" t="s">
        <v>408</v>
      </c>
      <c r="U45" s="303"/>
      <c r="V45" s="2267"/>
      <c r="W45" s="2268"/>
      <c r="X45" s="2268"/>
      <c r="Y45" s="2268"/>
      <c r="Z45" s="2268"/>
      <c r="AA45" s="2268"/>
      <c r="AB45" s="2269"/>
      <c r="AC45" s="2267"/>
      <c r="AD45" s="2268"/>
      <c r="AE45" s="2268"/>
      <c r="AF45" s="2268"/>
      <c r="AG45" s="2268"/>
      <c r="AH45" s="2268"/>
      <c r="AI45" s="2268"/>
      <c r="AJ45" s="2269"/>
      <c r="AK45" s="1310" t="s">
        <v>484</v>
      </c>
      <c r="AM45" s="503"/>
      <c r="AN45" s="503" t="str">
        <f>IF(T45="","",T45)</f>
        <v>Группа потребителей</v>
      </c>
      <c r="AO45" s="503"/>
      <c r="AP45" s="503"/>
      <c r="AQ45" s="1158">
        <v>23</v>
      </c>
    </row>
    <row customHeight="1" ht="24">
      <c r="A46" s="1366" t="s">
        <v>237</v>
      </c>
      <c r="B46" s="1366" t="s">
        <v>238</v>
      </c>
      <c r="C46" s="1366" t="s">
        <v>239</v>
      </c>
      <c r="D46" s="1366" t="s">
        <v>496</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496</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237</v>
      </c>
      <c r="B48" s="1366" t="s">
        <v>238</v>
      </c>
      <c r="C48" s="1366" t="s">
        <v>239</v>
      </c>
      <c r="D48" s="1366" t="s">
        <v>496</v>
      </c>
      <c r="E48" s="2281"/>
      <c r="F48" s="2281"/>
      <c r="G48" s="2281"/>
      <c r="H48" s="2281"/>
      <c r="I48" s="2308"/>
      <c r="J48" s="2278"/>
      <c r="K48" s="1366"/>
      <c r="L48" s="1367"/>
      <c r="P48" s="2279"/>
      <c r="Q48" s="2279"/>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496</v>
      </c>
      <c r="E49" s="2281"/>
      <c r="F49" s="2281"/>
      <c r="G49" s="2281"/>
      <c r="H49" s="2281"/>
      <c r="I49" s="2278"/>
      <c r="J49" s="1366"/>
      <c r="K49" s="1366"/>
      <c r="L49" s="1367"/>
      <c r="P49" s="2279"/>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496</v>
      </c>
      <c r="E50" s="2281"/>
      <c r="F50" s="2281"/>
      <c r="G50" s="2281"/>
      <c r="H50" s="2280"/>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81"/>
      <c r="F51" s="2280"/>
      <c r="G51" s="1317"/>
      <c r="H51" s="1317"/>
      <c r="I51" s="1317"/>
      <c r="J51" s="1317"/>
      <c r="K51" s="1317"/>
      <c r="L51" s="1461"/>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80"/>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0B816-C258-C715-59E7-0.8AD062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398</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399</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480</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482</v>
      </c>
      <c r="U5" s="303"/>
      <c r="V5" s="2372"/>
      <c r="W5" s="2373"/>
      <c r="X5" s="2373"/>
      <c r="Y5" s="2373"/>
      <c r="Z5" s="2373"/>
      <c r="AA5" s="2373"/>
      <c r="AB5" s="2374"/>
      <c r="AC5" s="2375"/>
      <c r="AD5" s="2376"/>
      <c r="AE5" s="2376"/>
      <c r="AF5" s="2376"/>
      <c r="AG5" s="2376"/>
      <c r="AH5" s="2376"/>
      <c r="AI5" s="2376"/>
      <c r="AJ5" s="2377"/>
      <c r="AK5" s="1261" t="s">
        <v>483</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407</v>
      </c>
      <c r="P6" s="2279"/>
      <c r="Q6" s="2279">
        <v>1</v>
      </c>
      <c r="R6" s="360"/>
      <c r="S6" s="1460">
        <f>$J6</f>
      </c>
      <c r="T6" s="289" t="s">
        <v>408</v>
      </c>
      <c r="U6" s="303"/>
      <c r="V6" s="2267"/>
      <c r="W6" s="2268"/>
      <c r="X6" s="2268"/>
      <c r="Y6" s="2268"/>
      <c r="Z6" s="2268"/>
      <c r="AA6" s="2268"/>
      <c r="AB6" s="2269"/>
      <c r="AC6" s="2267"/>
      <c r="AD6" s="2268"/>
      <c r="AE6" s="2268"/>
      <c r="AF6" s="2268"/>
      <c r="AG6" s="2268"/>
      <c r="AH6" s="2268"/>
      <c r="AI6" s="2268"/>
      <c r="AJ6" s="2269"/>
      <c r="AK6" s="1310" t="s">
        <v>484</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301</v>
      </c>
      <c r="T36" s="2149"/>
      <c r="U36" s="2149"/>
      <c r="V36" s="2149"/>
      <c r="W36" s="2149"/>
      <c r="X36" s="2149"/>
      <c r="Y36" s="2149"/>
      <c r="Z36" s="2149"/>
      <c r="AA36" s="2149"/>
      <c r="AB36" s="2149"/>
      <c r="AC36" s="2149"/>
      <c r="AD36" s="2149"/>
      <c r="AE36" s="2149"/>
      <c r="AF36" s="2149"/>
      <c r="AG36" s="2149"/>
      <c r="AH36" s="2149"/>
      <c r="AI36" s="2149"/>
      <c r="AJ36" s="2149"/>
      <c r="AK36" s="2149" t="s">
        <v>302</v>
      </c>
      <c r="AQ36" s="1158">
        <v>14</v>
      </c>
    </row>
    <row customHeight="1" ht="14.699999999999998">
      <c r="Q37" s="379"/>
      <c r="R37" s="379"/>
      <c r="S37" s="2295" t="s">
        <v>88</v>
      </c>
      <c r="T37" s="2231" t="s">
        <v>425</v>
      </c>
      <c r="U37" s="304"/>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58">
        <v>14</v>
      </c>
    </row>
    <row customHeight="1" ht="35.699999999999996">
      <c r="Q38" s="379"/>
      <c r="R38" s="379"/>
      <c r="S38" s="2295"/>
      <c r="T38" s="2231"/>
      <c r="U38" s="1034"/>
      <c r="V38" s="1455" t="s">
        <v>488</v>
      </c>
      <c r="W38" s="2284" t="s">
        <v>432</v>
      </c>
      <c r="X38" s="2285"/>
      <c r="Y38" s="2284" t="s">
        <v>433</v>
      </c>
      <c r="Z38" s="2291"/>
      <c r="AA38" s="2285"/>
      <c r="AB38" s="2300"/>
      <c r="AC38" s="1455" t="s">
        <v>488</v>
      </c>
      <c r="AD38" s="2284" t="s">
        <v>432</v>
      </c>
      <c r="AE38" s="2285"/>
      <c r="AF38" s="2284" t="s">
        <v>433</v>
      </c>
      <c r="AG38" s="2291"/>
      <c r="AH38" s="2285"/>
      <c r="AI38" s="2300"/>
      <c r="AJ38" s="2303"/>
      <c r="AK38" s="2149"/>
      <c r="AQ38" s="1158">
        <v>34</v>
      </c>
    </row>
    <row customHeight="1" ht="35.699999999999996">
      <c r="A39" s="1373"/>
      <c r="B39" s="1373" t="s">
        <v>138</v>
      </c>
      <c r="C39" s="1373" t="s">
        <v>139</v>
      </c>
      <c r="D39" s="1373" t="s">
        <v>140</v>
      </c>
      <c r="E39" s="1367" t="s">
        <v>434</v>
      </c>
      <c r="F39" s="1367" t="s">
        <v>435</v>
      </c>
      <c r="G39" s="1367" t="s">
        <v>436</v>
      </c>
      <c r="H39" s="1367"/>
      <c r="I39" s="1367" t="s">
        <v>489</v>
      </c>
      <c r="J39" s="1367" t="s">
        <v>439</v>
      </c>
      <c r="K39" s="1367" t="s">
        <v>490</v>
      </c>
      <c r="L39" s="1367" t="s">
        <v>419</v>
      </c>
      <c r="Q39" s="379"/>
      <c r="R39" s="379"/>
      <c r="S39" s="2295"/>
      <c r="T39" s="2231"/>
      <c r="U39" s="305"/>
      <c r="V39" s="1455" t="s">
        <v>491</v>
      </c>
      <c r="W39" s="1225" t="s">
        <v>492</v>
      </c>
      <c r="X39" s="1225" t="s">
        <v>493</v>
      </c>
      <c r="Y39" s="1458" t="s">
        <v>443</v>
      </c>
      <c r="Z39" s="2292" t="s">
        <v>444</v>
      </c>
      <c r="AA39" s="2293"/>
      <c r="AB39" s="2301"/>
      <c r="AC39" s="1455" t="s">
        <v>491</v>
      </c>
      <c r="AD39" s="1225" t="s">
        <v>492</v>
      </c>
      <c r="AE39" s="1225" t="s">
        <v>493</v>
      </c>
      <c r="AF39" s="1458" t="s">
        <v>443</v>
      </c>
      <c r="AG39" s="2292" t="s">
        <v>444</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99</v>
      </c>
      <c r="T40" s="1258" t="s">
        <v>109</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399</v>
      </c>
      <c r="AM42" s="503"/>
      <c r="AN42" s="503" t="str">
        <f>IF(T42="","",T42)</f>
        <v>Территория действия тарифа</v>
      </c>
      <c r="AO42" s="503"/>
      <c r="AP42" s="503"/>
      <c r="AQ42" s="1158">
        <v>23</v>
      </c>
    </row>
    <row customHeight="1" ht="24">
      <c r="A43" s="1366" t="s">
        <v>242</v>
      </c>
      <c r="B43" s="1366" t="s">
        <v>243</v>
      </c>
      <c r="C43" s="1366" t="s">
        <v>244</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497</v>
      </c>
      <c r="E44" s="2281"/>
      <c r="F44" s="2281"/>
      <c r="G44" s="2281"/>
      <c r="H44" s="2281"/>
      <c r="I44" s="2278" t="str">
        <f>S43&amp;".1"</f>
        <v>...1</v>
      </c>
      <c r="J44" s="1366"/>
      <c r="K44" s="1366"/>
      <c r="L44" s="1367"/>
      <c r="P44" s="2279">
        <v>1</v>
      </c>
      <c r="Q44" s="1453"/>
      <c r="R44" s="359"/>
      <c r="S44" s="1460" t="str">
        <f>$I44</f>
        <v>...1</v>
      </c>
      <c r="T44" s="288" t="s">
        <v>482</v>
      </c>
      <c r="U44" s="303"/>
      <c r="V44" s="2372"/>
      <c r="W44" s="2373"/>
      <c r="X44" s="2373"/>
      <c r="Y44" s="2373"/>
      <c r="Z44" s="2373"/>
      <c r="AA44" s="2373"/>
      <c r="AB44" s="2374"/>
      <c r="AC44" s="2375"/>
      <c r="AD44" s="2376"/>
      <c r="AE44" s="2376"/>
      <c r="AF44" s="2376"/>
      <c r="AG44" s="2376"/>
      <c r="AH44" s="2376"/>
      <c r="AI44" s="2376"/>
      <c r="AJ44" s="2377"/>
      <c r="AK44" s="1261" t="s">
        <v>483</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497</v>
      </c>
      <c r="E45" s="2281"/>
      <c r="F45" s="2281"/>
      <c r="G45" s="2281"/>
      <c r="H45" s="2281"/>
      <c r="I45" s="2308"/>
      <c r="J45" s="2278" t="str">
        <f>I44&amp;".1"</f>
        <v>...1.1</v>
      </c>
      <c r="K45" s="1366"/>
      <c r="L45" s="1367" t="s">
        <v>407</v>
      </c>
      <c r="P45" s="2279"/>
      <c r="Q45" s="2279">
        <v>1</v>
      </c>
      <c r="R45" s="360"/>
      <c r="S45" s="1460" t="str">
        <f>$J45</f>
        <v>...1.1</v>
      </c>
      <c r="T45" s="289" t="s">
        <v>408</v>
      </c>
      <c r="U45" s="303"/>
      <c r="V45" s="2267"/>
      <c r="W45" s="2268"/>
      <c r="X45" s="2268"/>
      <c r="Y45" s="2268"/>
      <c r="Z45" s="2268"/>
      <c r="AA45" s="2268"/>
      <c r="AB45" s="2269"/>
      <c r="AC45" s="2267"/>
      <c r="AD45" s="2268"/>
      <c r="AE45" s="2268"/>
      <c r="AF45" s="2268"/>
      <c r="AG45" s="2268"/>
      <c r="AH45" s="2268"/>
      <c r="AI45" s="2268"/>
      <c r="AJ45" s="2269"/>
      <c r="AK45" s="1310" t="s">
        <v>484</v>
      </c>
      <c r="AM45" s="503"/>
      <c r="AN45" s="503" t="str">
        <f>IF(T45="","",T45)</f>
        <v>Группа потребителей</v>
      </c>
      <c r="AO45" s="503"/>
      <c r="AP45" s="503"/>
      <c r="AQ45" s="1158">
        <v>23</v>
      </c>
    </row>
    <row customHeight="1" ht="24">
      <c r="A46" s="1366" t="s">
        <v>242</v>
      </c>
      <c r="B46" s="1366" t="s">
        <v>243</v>
      </c>
      <c r="C46" s="1366" t="s">
        <v>244</v>
      </c>
      <c r="D46" s="1366" t="s">
        <v>497</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62</v>
      </c>
      <c r="AA46" s="2287"/>
      <c r="AB46" s="2129" t="s">
        <v>62</v>
      </c>
      <c r="AC46" s="754"/>
      <c r="AD46" s="754"/>
      <c r="AE46" s="1260"/>
      <c r="AF46" s="2287"/>
      <c r="AG46" s="2129" t="s">
        <v>62</v>
      </c>
      <c r="AH46" s="2309"/>
      <c r="AI46" s="2129" t="s">
        <v>62</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497</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242</v>
      </c>
      <c r="B48" s="1366" t="s">
        <v>243</v>
      </c>
      <c r="C48" s="1366" t="s">
        <v>244</v>
      </c>
      <c r="D48" s="1366" t="s">
        <v>497</v>
      </c>
      <c r="E48" s="2281"/>
      <c r="F48" s="2281"/>
      <c r="G48" s="2281"/>
      <c r="H48" s="2281"/>
      <c r="I48" s="2308"/>
      <c r="J48" s="2278"/>
      <c r="K48" s="1366"/>
      <c r="L48" s="1367"/>
      <c r="P48" s="2279"/>
      <c r="Q48" s="2279"/>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497</v>
      </c>
      <c r="E49" s="2281"/>
      <c r="F49" s="2281"/>
      <c r="G49" s="2281"/>
      <c r="H49" s="2281"/>
      <c r="I49" s="2278"/>
      <c r="J49" s="1366"/>
      <c r="K49" s="1366"/>
      <c r="L49" s="1367"/>
      <c r="P49" s="2279"/>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497</v>
      </c>
      <c r="E50" s="2281"/>
      <c r="F50" s="2281"/>
      <c r="G50" s="2281"/>
      <c r="H50" s="2280"/>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81"/>
      <c r="F51" s="2280"/>
      <c r="G51" s="1317"/>
      <c r="H51" s="1317"/>
      <c r="I51" s="1317"/>
      <c r="J51" s="1317"/>
      <c r="K51" s="1317"/>
      <c r="L51" s="1461"/>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80"/>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CD831-7366-5DC1-1387-0.2DD9FE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126</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398</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399</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480</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481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403</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404</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62</v>
      </c>
      <c r="AB8" s="1736"/>
      <c r="AC8" s="1462" t="s">
        <v>62</v>
      </c>
      <c r="AD8" s="2207" t="s">
        <v>62</v>
      </c>
      <c r="AE8" s="2348"/>
      <c r="AF8" s="2227">
        <v>1</v>
      </c>
      <c r="AG8" s="2385"/>
      <c r="AH8" s="2129" t="s">
        <v>62</v>
      </c>
      <c r="AI8" s="2348"/>
      <c r="AJ8" s="2227">
        <v>1</v>
      </c>
      <c r="AK8" s="2349" t="s">
        <v>22</v>
      </c>
      <c r="AL8" s="2129" t="s">
        <v>62</v>
      </c>
      <c r="AM8" s="2214"/>
      <c r="AN8" s="2227">
        <v>1</v>
      </c>
      <c r="AO8" s="2379"/>
      <c r="AP8" s="2380" t="s">
        <v>62</v>
      </c>
      <c r="AQ8" s="314"/>
      <c r="AR8" s="1466">
        <v>1</v>
      </c>
      <c r="AS8" s="1469" t="s">
        <v>22</v>
      </c>
      <c r="AT8" s="754"/>
      <c r="AU8" s="1260"/>
      <c r="AV8" s="754"/>
      <c r="AW8" s="1260"/>
      <c r="AX8" s="1736"/>
      <c r="AY8" s="1462" t="s">
        <v>62</v>
      </c>
      <c r="AZ8" s="1736"/>
      <c r="BA8" s="1462" t="s">
        <v>62</v>
      </c>
      <c r="BB8" s="1351"/>
      <c r="BC8" s="2275" t="s">
        <v>498</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499</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500</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62</v>
      </c>
      <c r="AZ20" s="1738"/>
      <c r="BA20" s="1463" t="s">
        <v>62</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466</v>
      </c>
      <c r="AH24" s="1510" t="s">
        <v>466</v>
      </c>
      <c r="AK24" s="1510" t="s">
        <v>503</v>
      </c>
      <c r="AL24" s="1510" t="s">
        <v>466</v>
      </c>
      <c r="AP24" s="1510" t="s">
        <v>466</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"Водоканал"</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504</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505</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504</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505</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301</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302</v>
      </c>
      <c r="BI40" s="1158">
        <v>14</v>
      </c>
    </row>
    <row customHeight="1" ht="14.699999999999998">
      <c r="Q41" s="294"/>
      <c r="R41" s="379"/>
      <c r="S41" s="2295" t="s">
        <v>88</v>
      </c>
      <c r="T41" s="2231" t="s">
        <v>506</v>
      </c>
      <c r="U41" s="304"/>
      <c r="V41" s="2296" t="s">
        <v>426</v>
      </c>
      <c r="W41" s="2297"/>
      <c r="X41" s="2297"/>
      <c r="Y41" s="2297"/>
      <c r="Z41" s="2297"/>
      <c r="AA41" s="2297"/>
      <c r="AB41" s="2298"/>
      <c r="AC41" s="2299" t="s">
        <v>427</v>
      </c>
      <c r="AD41" s="2350" t="s">
        <v>507</v>
      </c>
      <c r="AE41" s="2313"/>
      <c r="AF41" s="2313"/>
      <c r="AG41" s="2351"/>
      <c r="AH41" s="2350" t="s">
        <v>508</v>
      </c>
      <c r="AI41" s="2313"/>
      <c r="AJ41" s="2313"/>
      <c r="AK41" s="2351"/>
      <c r="AL41" s="2350" t="s">
        <v>509</v>
      </c>
      <c r="AM41" s="2313"/>
      <c r="AN41" s="2313"/>
      <c r="AO41" s="2351"/>
      <c r="AP41" s="2350" t="s">
        <v>510</v>
      </c>
      <c r="AQ41" s="2313"/>
      <c r="AR41" s="2313"/>
      <c r="AS41" s="2351"/>
      <c r="AT41" s="2296" t="s">
        <v>426</v>
      </c>
      <c r="AU41" s="2297"/>
      <c r="AV41" s="2297"/>
      <c r="AW41" s="2297"/>
      <c r="AX41" s="2297"/>
      <c r="AY41" s="2297"/>
      <c r="AZ41" s="2298"/>
      <c r="BA41" s="2299" t="s">
        <v>427</v>
      </c>
      <c r="BB41" s="2302" t="s">
        <v>429</v>
      </c>
      <c r="BC41" s="2149"/>
      <c r="BI41" s="1158">
        <v>14</v>
      </c>
    </row>
    <row customHeight="1" ht="35.699999999999996">
      <c r="Q42" s="294"/>
      <c r="R42" s="379"/>
      <c r="S42" s="2295"/>
      <c r="T42" s="2231"/>
      <c r="U42" s="1034"/>
      <c r="V42" s="2214" t="s">
        <v>511</v>
      </c>
      <c r="W42" s="2215"/>
      <c r="X42" s="2214" t="s">
        <v>512</v>
      </c>
      <c r="Y42" s="2215"/>
      <c r="Z42" s="2316" t="s">
        <v>513</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511</v>
      </c>
      <c r="AU42" s="2215"/>
      <c r="AV42" s="2214" t="s">
        <v>512</v>
      </c>
      <c r="AW42" s="2215"/>
      <c r="AX42" s="2316" t="s">
        <v>513</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138</v>
      </c>
      <c r="C44" s="1373" t="s">
        <v>139</v>
      </c>
      <c r="D44" s="1373" t="s">
        <v>140</v>
      </c>
      <c r="E44" s="1367" t="s">
        <v>434</v>
      </c>
      <c r="F44" s="1367" t="s">
        <v>435</v>
      </c>
      <c r="G44" s="1367" t="s">
        <v>436</v>
      </c>
      <c r="H44" s="1367" t="s">
        <v>437</v>
      </c>
      <c r="I44" s="1367" t="s">
        <v>438</v>
      </c>
      <c r="J44" s="1367" t="s">
        <v>439</v>
      </c>
      <c r="K44" s="1367" t="s">
        <v>440</v>
      </c>
      <c r="L44" s="1367" t="s">
        <v>419</v>
      </c>
      <c r="Q44" s="294"/>
      <c r="R44" s="379"/>
      <c r="S44" s="2295"/>
      <c r="T44" s="2231"/>
      <c r="U44" s="305"/>
      <c r="V44" s="1451" t="s">
        <v>475</v>
      </c>
      <c r="W44" s="1451" t="s">
        <v>476</v>
      </c>
      <c r="X44" s="1451" t="s">
        <v>475</v>
      </c>
      <c r="Y44" s="1451" t="s">
        <v>476</v>
      </c>
      <c r="Z44" s="1458" t="s">
        <v>443</v>
      </c>
      <c r="AA44" s="2292" t="s">
        <v>444</v>
      </c>
      <c r="AB44" s="2293"/>
      <c r="AC44" s="2301"/>
      <c r="AD44" s="2355"/>
      <c r="AE44" s="2356"/>
      <c r="AF44" s="2356"/>
      <c r="AG44" s="2357"/>
      <c r="AH44" s="2355"/>
      <c r="AI44" s="2356"/>
      <c r="AJ44" s="2356"/>
      <c r="AK44" s="2357"/>
      <c r="AL44" s="2355"/>
      <c r="AM44" s="2356"/>
      <c r="AN44" s="2356"/>
      <c r="AO44" s="2357"/>
      <c r="AP44" s="2355"/>
      <c r="AQ44" s="2356"/>
      <c r="AR44" s="2356"/>
      <c r="AS44" s="2357"/>
      <c r="AT44" s="1451" t="s">
        <v>475</v>
      </c>
      <c r="AU44" s="1451" t="s">
        <v>476</v>
      </c>
      <c r="AV44" s="1451" t="s">
        <v>475</v>
      </c>
      <c r="AW44" s="1451" t="s">
        <v>476</v>
      </c>
      <c r="AX44" s="1458" t="s">
        <v>443</v>
      </c>
      <c r="AY44" s="2292" t="s">
        <v>444</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99</v>
      </c>
      <c r="T45" s="1258" t="s">
        <v>109</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247</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126</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247</v>
      </c>
      <c r="B47" s="1366" t="s">
        <v>248</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398</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399</v>
      </c>
      <c r="BE47" s="503"/>
      <c r="BF47" s="503" t="str">
        <f>IF(T47="","",T47)</f>
        <v>Территория действия тарифа</v>
      </c>
      <c r="BG47" s="503"/>
      <c r="BH47" s="503"/>
      <c r="BI47" s="1158">
        <v>21</v>
      </c>
    </row>
    <row customHeight="1" ht="43.050000000000004">
      <c r="A48" s="1366" t="s">
        <v>247</v>
      </c>
      <c r="B48" s="1366" t="s">
        <v>248</v>
      </c>
      <c r="C48" s="1366" t="s">
        <v>249</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481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247</v>
      </c>
      <c r="B49" s="1346" t="s">
        <v>248</v>
      </c>
      <c r="C49" s="1346" t="s">
        <v>249</v>
      </c>
      <c r="D49" s="1346" t="s">
        <v>514</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403</v>
      </c>
      <c r="BE49" s="503"/>
      <c r="BF49" s="503" t="str">
        <f>IF(T49="","",T49)</f>
        <v/>
      </c>
      <c r="BG49" s="503"/>
      <c r="BH49" s="503"/>
      <c r="BI49" s="514">
        <v>0</v>
      </c>
    </row>
    <row s="1645" customFormat="1" customHeight="1" ht="0">
      <c r="A50" s="1346" t="s">
        <v>247</v>
      </c>
      <c r="B50" s="1346" t="s">
        <v>248</v>
      </c>
      <c r="C50" s="1346" t="s">
        <v>249</v>
      </c>
      <c r="D50" s="1346" t="s">
        <v>514</v>
      </c>
      <c r="E50" s="2281"/>
      <c r="F50" s="2281"/>
      <c r="G50" s="2281"/>
      <c r="H50" s="2281"/>
      <c r="I50" s="2278" t="str">
        <f>S49&amp;".1"</f>
        <v>.1</v>
      </c>
      <c r="J50" s="1346"/>
      <c r="K50" s="1346"/>
      <c r="L50" s="1349" t="s">
        <v>404</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247</v>
      </c>
      <c r="B51" s="1346" t="s">
        <v>248</v>
      </c>
      <c r="C51" s="1346" t="s">
        <v>249</v>
      </c>
      <c r="D51" s="1346" t="s">
        <v>514</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247</v>
      </c>
      <c r="B52" s="1366" t="s">
        <v>248</v>
      </c>
      <c r="C52" s="1366" t="s">
        <v>249</v>
      </c>
      <c r="D52" s="1366" t="s">
        <v>514</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62</v>
      </c>
      <c r="AB52" s="1736"/>
      <c r="AC52" s="146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66">
        <v>1</v>
      </c>
      <c r="AS52" s="1469" t="s">
        <v>22</v>
      </c>
      <c r="AT52" s="754"/>
      <c r="AU52" s="1260"/>
      <c r="AV52" s="754"/>
      <c r="AW52" s="1260"/>
      <c r="AX52" s="1736"/>
      <c r="AY52" s="1462" t="s">
        <v>62</v>
      </c>
      <c r="AZ52" s="1736"/>
      <c r="BA52" s="1462" t="s">
        <v>62</v>
      </c>
      <c r="BB52" s="1351"/>
      <c r="BC52" s="2275" t="s">
        <v>498</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499</v>
      </c>
      <c r="AT53" s="1396"/>
      <c r="AU53" s="1499"/>
      <c r="AV53" s="1396"/>
      <c r="AW53" s="1499"/>
      <c r="AX53" s="1396"/>
      <c r="AY53" s="1396"/>
      <c r="AZ53" s="1396"/>
      <c r="BA53" s="1396"/>
      <c r="BB53" s="1400"/>
      <c r="BC53" s="2276"/>
      <c r="BE53" s="503"/>
      <c r="BF53" s="503"/>
      <c r="BG53" s="503"/>
      <c r="BH53" s="503"/>
      <c r="BI53" s="1158">
        <v>11</v>
      </c>
    </row>
    <row customHeight="1" ht="11.549999999999999">
      <c r="A54" s="1366" t="s">
        <v>247</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500</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247</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247</v>
      </c>
      <c r="B56" s="1366" t="s">
        <v>248</v>
      </c>
      <c r="C56" s="1366" t="s">
        <v>249</v>
      </c>
      <c r="D56" s="1366" t="s">
        <v>514</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247</v>
      </c>
      <c r="B57" s="1366" t="s">
        <v>248</v>
      </c>
      <c r="C57" s="1366" t="s">
        <v>249</v>
      </c>
      <c r="D57" s="1366" t="s">
        <v>514</v>
      </c>
      <c r="E57" s="2281"/>
      <c r="F57" s="2281"/>
      <c r="G57" s="2281"/>
      <c r="H57" s="2281"/>
      <c r="I57" s="2308"/>
      <c r="J57" s="2278"/>
      <c r="K57" s="1366"/>
      <c r="L57" s="1367"/>
      <c r="P57" s="2279"/>
      <c r="Q57" s="2279"/>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247</v>
      </c>
      <c r="B58" s="1346" t="s">
        <v>248</v>
      </c>
      <c r="C58" s="1346" t="s">
        <v>249</v>
      </c>
      <c r="D58" s="1346" t="s">
        <v>514</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247</v>
      </c>
      <c r="B59" s="1346" t="s">
        <v>248</v>
      </c>
      <c r="C59" s="1346" t="s">
        <v>249</v>
      </c>
      <c r="D59" s="1346" t="s">
        <v>514</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247</v>
      </c>
      <c r="B60" s="1346" t="s">
        <v>248</v>
      </c>
      <c r="C60" s="1346" t="s">
        <v>249</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247</v>
      </c>
      <c r="B61" s="1346" t="s">
        <v>248</v>
      </c>
      <c r="C61" s="1317"/>
      <c r="D61" s="1317"/>
      <c r="E61" s="2281"/>
      <c r="F61" s="2280"/>
      <c r="G61" s="1317"/>
      <c r="H61" s="1317"/>
      <c r="I61" s="1317"/>
      <c r="J61" s="1317"/>
      <c r="K61" s="1317"/>
      <c r="L61" s="1467"/>
      <c r="M61" s="1324"/>
      <c r="N61" s="1324"/>
      <c r="P61" s="1319"/>
      <c r="Q61" s="1320"/>
      <c r="R61" s="1319"/>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247</v>
      </c>
      <c r="B62" s="1346"/>
      <c r="C62" s="1346"/>
      <c r="D62" s="1346"/>
      <c r="E62" s="2280"/>
      <c r="F62" s="1346"/>
      <c r="G62" s="1346"/>
      <c r="H62" s="1346"/>
      <c r="I62" s="1346"/>
      <c r="J62" s="1346"/>
      <c r="K62" s="1346"/>
      <c r="L62" s="1349"/>
      <c r="M62" s="1324"/>
      <c r="N62" s="1324"/>
      <c r="O62" s="521"/>
      <c r="P62" s="383"/>
      <c r="Q62" s="1347"/>
      <c r="R62" s="383"/>
      <c r="S62" s="1325"/>
      <c r="T62" s="1328" t="s">
        <v>417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99F6A-5646-6759-B07E-0.CC81C8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398</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399</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515</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482</v>
      </c>
      <c r="U5" s="303"/>
      <c r="V5" s="2372"/>
      <c r="W5" s="2373"/>
      <c r="X5" s="2373"/>
      <c r="Y5" s="2373"/>
      <c r="Z5" s="2373"/>
      <c r="AA5" s="2373"/>
      <c r="AB5" s="2374"/>
      <c r="AC5" s="2375"/>
      <c r="AD5" s="2376"/>
      <c r="AE5" s="2376"/>
      <c r="AF5" s="2376"/>
      <c r="AG5" s="2376"/>
      <c r="AH5" s="2376"/>
      <c r="AI5" s="2376"/>
      <c r="AJ5" s="2377"/>
      <c r="AK5" s="1261" t="s">
        <v>483</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407</v>
      </c>
      <c r="P6" s="2279"/>
      <c r="Q6" s="2279">
        <v>1</v>
      </c>
      <c r="R6" s="360"/>
      <c r="S6" s="1496">
        <f>$J6</f>
      </c>
      <c r="T6" s="289" t="s">
        <v>408</v>
      </c>
      <c r="U6" s="303"/>
      <c r="V6" s="2267"/>
      <c r="W6" s="2268"/>
      <c r="X6" s="2268"/>
      <c r="Y6" s="2268"/>
      <c r="Z6" s="2268"/>
      <c r="AA6" s="2268"/>
      <c r="AB6" s="2269"/>
      <c r="AC6" s="2267"/>
      <c r="AD6" s="2268"/>
      <c r="AE6" s="2268"/>
      <c r="AF6" s="2268"/>
      <c r="AG6" s="2268"/>
      <c r="AH6" s="2268"/>
      <c r="AI6" s="2268"/>
      <c r="AJ6" s="2269"/>
      <c r="AK6" s="1310" t="s">
        <v>484</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301</v>
      </c>
      <c r="T36" s="2149"/>
      <c r="U36" s="2149"/>
      <c r="V36" s="2149"/>
      <c r="W36" s="2149"/>
      <c r="X36" s="2149"/>
      <c r="Y36" s="2149"/>
      <c r="Z36" s="2149"/>
      <c r="AA36" s="2149"/>
      <c r="AB36" s="2149"/>
      <c r="AC36" s="2149"/>
      <c r="AD36" s="2149"/>
      <c r="AE36" s="2149"/>
      <c r="AF36" s="2149"/>
      <c r="AG36" s="2149"/>
      <c r="AH36" s="2149"/>
      <c r="AI36" s="2149"/>
      <c r="AJ36" s="2149"/>
      <c r="AK36" s="2149" t="s">
        <v>302</v>
      </c>
      <c r="AQ36" s="1158">
        <v>14</v>
      </c>
    </row>
    <row customHeight="1" ht="14.699999999999998">
      <c r="Q37" s="379"/>
      <c r="R37" s="379"/>
      <c r="S37" s="2295" t="s">
        <v>88</v>
      </c>
      <c r="T37" s="2231" t="s">
        <v>425</v>
      </c>
      <c r="U37" s="304"/>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58">
        <v>14</v>
      </c>
    </row>
    <row customHeight="1" ht="35.699999999999996">
      <c r="Q38" s="379"/>
      <c r="R38" s="379"/>
      <c r="S38" s="2295"/>
      <c r="T38" s="2231"/>
      <c r="U38" s="1034"/>
      <c r="V38" s="1486" t="s">
        <v>488</v>
      </c>
      <c r="W38" s="2284" t="s">
        <v>432</v>
      </c>
      <c r="X38" s="2285"/>
      <c r="Y38" s="2284" t="s">
        <v>433</v>
      </c>
      <c r="Z38" s="2291"/>
      <c r="AA38" s="2285"/>
      <c r="AB38" s="2300"/>
      <c r="AC38" s="1486" t="s">
        <v>488</v>
      </c>
      <c r="AD38" s="2284" t="s">
        <v>432</v>
      </c>
      <c r="AE38" s="2285"/>
      <c r="AF38" s="2284" t="s">
        <v>433</v>
      </c>
      <c r="AG38" s="2291"/>
      <c r="AH38" s="2285"/>
      <c r="AI38" s="2300"/>
      <c r="AJ38" s="2303"/>
      <c r="AK38" s="2149"/>
      <c r="AQ38" s="1158">
        <v>34</v>
      </c>
    </row>
    <row customHeight="1" ht="90.3">
      <c r="A39" s="1373"/>
      <c r="B39" s="1373" t="s">
        <v>138</v>
      </c>
      <c r="C39" s="1373" t="s">
        <v>139</v>
      </c>
      <c r="D39" s="1373" t="s">
        <v>140</v>
      </c>
      <c r="E39" s="1367" t="s">
        <v>434</v>
      </c>
      <c r="F39" s="1367" t="s">
        <v>435</v>
      </c>
      <c r="G39" s="1367" t="s">
        <v>436</v>
      </c>
      <c r="H39" s="1367"/>
      <c r="I39" s="1367" t="s">
        <v>489</v>
      </c>
      <c r="J39" s="1367" t="s">
        <v>439</v>
      </c>
      <c r="K39" s="1367" t="s">
        <v>490</v>
      </c>
      <c r="L39" s="1367" t="s">
        <v>419</v>
      </c>
      <c r="Q39" s="379"/>
      <c r="R39" s="379"/>
      <c r="S39" s="2295"/>
      <c r="T39" s="2231"/>
      <c r="U39" s="305"/>
      <c r="V39" s="1486" t="s">
        <v>517</v>
      </c>
      <c r="W39" s="1225" t="s">
        <v>518</v>
      </c>
      <c r="X39" s="1225" t="s">
        <v>493</v>
      </c>
      <c r="Y39" s="1492" t="s">
        <v>443</v>
      </c>
      <c r="Z39" s="2292" t="s">
        <v>444</v>
      </c>
      <c r="AA39" s="2293"/>
      <c r="AB39" s="2301"/>
      <c r="AC39" s="1486" t="s">
        <v>517</v>
      </c>
      <c r="AD39" s="1225" t="s">
        <v>518</v>
      </c>
      <c r="AE39" s="1225" t="s">
        <v>493</v>
      </c>
      <c r="AF39" s="1492" t="s">
        <v>443</v>
      </c>
      <c r="AG39" s="2292" t="s">
        <v>444</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99</v>
      </c>
      <c r="T40" s="1258" t="s">
        <v>109</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267</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267</v>
      </c>
      <c r="B42" s="1366" t="s">
        <v>268</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398</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399</v>
      </c>
      <c r="AM42" s="503"/>
      <c r="AN42" s="503" t="str">
        <f>IF(T42="","",T42)</f>
        <v>Территория действия тарифа</v>
      </c>
      <c r="AO42" s="503"/>
      <c r="AP42" s="503"/>
      <c r="AQ42" s="1158">
        <v>23</v>
      </c>
    </row>
    <row customHeight="1" ht="24">
      <c r="A43" s="1366" t="s">
        <v>267</v>
      </c>
      <c r="B43" s="1366" t="s">
        <v>268</v>
      </c>
      <c r="C43" s="1366" t="s">
        <v>269</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516</v>
      </c>
      <c r="AM43" s="503"/>
      <c r="AN43" s="503" t="str">
        <f>IF(T43="","",T43)</f>
        <v>Наименование централизованной системы водоотведения</v>
      </c>
      <c r="AO43" s="503"/>
      <c r="AP43" s="503"/>
      <c r="AQ43" s="1158">
        <v>23</v>
      </c>
    </row>
    <row customHeight="1" ht="24">
      <c r="A44" s="1366" t="s">
        <v>267</v>
      </c>
      <c r="B44" s="1366" t="s">
        <v>268</v>
      </c>
      <c r="C44" s="1366" t="s">
        <v>269</v>
      </c>
      <c r="D44" s="1366" t="s">
        <v>519</v>
      </c>
      <c r="E44" s="2281"/>
      <c r="F44" s="2281"/>
      <c r="G44" s="2281"/>
      <c r="H44" s="2281"/>
      <c r="I44" s="2278" t="str">
        <f>S43&amp;".1"</f>
        <v>...1</v>
      </c>
      <c r="J44" s="1366"/>
      <c r="K44" s="1366"/>
      <c r="L44" s="1367"/>
      <c r="P44" s="2279">
        <v>1</v>
      </c>
      <c r="Q44" s="1484"/>
      <c r="R44" s="359"/>
      <c r="S44" s="1496" t="str">
        <f>$I44</f>
        <v>...1</v>
      </c>
      <c r="T44" s="288" t="s">
        <v>482</v>
      </c>
      <c r="U44" s="303"/>
      <c r="V44" s="2372"/>
      <c r="W44" s="2373"/>
      <c r="X44" s="2373"/>
      <c r="Y44" s="2373"/>
      <c r="Z44" s="2373"/>
      <c r="AA44" s="2373"/>
      <c r="AB44" s="2374"/>
      <c r="AC44" s="2375"/>
      <c r="AD44" s="2376"/>
      <c r="AE44" s="2376"/>
      <c r="AF44" s="2376"/>
      <c r="AG44" s="2376"/>
      <c r="AH44" s="2376"/>
      <c r="AI44" s="2376"/>
      <c r="AJ44" s="2377"/>
      <c r="AK44" s="1261" t="s">
        <v>483</v>
      </c>
      <c r="AM44" s="503"/>
      <c r="AN44" s="503" t="str">
        <f>IF(T44="","",T44)</f>
        <v>Наименование признака дифференциации</v>
      </c>
      <c r="AO44" s="503"/>
      <c r="AP44" s="503"/>
      <c r="AQ44" s="1158">
        <v>23</v>
      </c>
    </row>
    <row customHeight="1" ht="24">
      <c r="A45" s="1366" t="s">
        <v>267</v>
      </c>
      <c r="B45" s="1366" t="s">
        <v>268</v>
      </c>
      <c r="C45" s="1366" t="s">
        <v>269</v>
      </c>
      <c r="D45" s="1366" t="s">
        <v>519</v>
      </c>
      <c r="E45" s="2281"/>
      <c r="F45" s="2281"/>
      <c r="G45" s="2281"/>
      <c r="H45" s="2281"/>
      <c r="I45" s="2308"/>
      <c r="J45" s="2278" t="str">
        <f>I44&amp;".1"</f>
        <v>...1.1</v>
      </c>
      <c r="K45" s="1366"/>
      <c r="L45" s="1367" t="s">
        <v>407</v>
      </c>
      <c r="P45" s="2279"/>
      <c r="Q45" s="2279">
        <v>1</v>
      </c>
      <c r="R45" s="360"/>
      <c r="S45" s="1496" t="str">
        <f>$J45</f>
        <v>...1.1</v>
      </c>
      <c r="T45" s="289" t="s">
        <v>408</v>
      </c>
      <c r="U45" s="303"/>
      <c r="V45" s="2267"/>
      <c r="W45" s="2268"/>
      <c r="X45" s="2268"/>
      <c r="Y45" s="2268"/>
      <c r="Z45" s="2268"/>
      <c r="AA45" s="2268"/>
      <c r="AB45" s="2269"/>
      <c r="AC45" s="2267"/>
      <c r="AD45" s="2268"/>
      <c r="AE45" s="2268"/>
      <c r="AF45" s="2268"/>
      <c r="AG45" s="2268"/>
      <c r="AH45" s="2268"/>
      <c r="AI45" s="2268"/>
      <c r="AJ45" s="2269"/>
      <c r="AK45" s="1310" t="s">
        <v>484</v>
      </c>
      <c r="AM45" s="503"/>
      <c r="AN45" s="503" t="str">
        <f>IF(T45="","",T45)</f>
        <v>Группа потребителей</v>
      </c>
      <c r="AO45" s="503"/>
      <c r="AP45" s="503"/>
      <c r="AQ45" s="1158">
        <v>23</v>
      </c>
    </row>
    <row customHeight="1" ht="24">
      <c r="A46" s="1366" t="s">
        <v>267</v>
      </c>
      <c r="B46" s="1366" t="s">
        <v>268</v>
      </c>
      <c r="C46" s="1366" t="s">
        <v>269</v>
      </c>
      <c r="D46" s="1366" t="s">
        <v>519</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267</v>
      </c>
      <c r="B47" s="1366" t="s">
        <v>268</v>
      </c>
      <c r="C47" s="1366" t="s">
        <v>269</v>
      </c>
      <c r="D47" s="1366" t="s">
        <v>519</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267</v>
      </c>
      <c r="B48" s="1366" t="s">
        <v>268</v>
      </c>
      <c r="C48" s="1366" t="s">
        <v>269</v>
      </c>
      <c r="D48" s="1366" t="s">
        <v>519</v>
      </c>
      <c r="E48" s="2281"/>
      <c r="F48" s="2281"/>
      <c r="G48" s="2281"/>
      <c r="H48" s="2281"/>
      <c r="I48" s="2308"/>
      <c r="J48" s="2278"/>
      <c r="K48" s="1366"/>
      <c r="L48" s="1367"/>
      <c r="P48" s="2279"/>
      <c r="Q48" s="2279"/>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267</v>
      </c>
      <c r="B49" s="1366" t="s">
        <v>268</v>
      </c>
      <c r="C49" s="1366" t="s">
        <v>269</v>
      </c>
      <c r="D49" s="1366" t="s">
        <v>519</v>
      </c>
      <c r="E49" s="2281"/>
      <c r="F49" s="2281"/>
      <c r="G49" s="2281"/>
      <c r="H49" s="2281"/>
      <c r="I49" s="2278"/>
      <c r="J49" s="1366"/>
      <c r="K49" s="1366"/>
      <c r="L49" s="1367"/>
      <c r="P49" s="2279"/>
      <c r="Q49" s="1484"/>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267</v>
      </c>
      <c r="B50" s="1366" t="s">
        <v>268</v>
      </c>
      <c r="C50" s="1366" t="s">
        <v>269</v>
      </c>
      <c r="D50" s="1366" t="s">
        <v>519</v>
      </c>
      <c r="E50" s="2281"/>
      <c r="F50" s="2281"/>
      <c r="G50" s="2281"/>
      <c r="H50" s="2280"/>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267</v>
      </c>
      <c r="B51" s="1346" t="s">
        <v>268</v>
      </c>
      <c r="C51" s="1317"/>
      <c r="D51" s="1317"/>
      <c r="E51" s="2281"/>
      <c r="F51" s="2280"/>
      <c r="G51" s="1317"/>
      <c r="H51" s="1317"/>
      <c r="I51" s="1317"/>
      <c r="J51" s="1317"/>
      <c r="K51" s="1317"/>
      <c r="L51" s="1497"/>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267</v>
      </c>
      <c r="B52" s="1346"/>
      <c r="C52" s="1346"/>
      <c r="D52" s="1346"/>
      <c r="E52" s="2280"/>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1425B-75E4-C266-83DB-0.211172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398</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399</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515</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482</v>
      </c>
      <c r="U5" s="303"/>
      <c r="V5" s="2372"/>
      <c r="W5" s="2373"/>
      <c r="X5" s="2373"/>
      <c r="Y5" s="2373"/>
      <c r="Z5" s="2373"/>
      <c r="AA5" s="2373"/>
      <c r="AB5" s="2374"/>
      <c r="AC5" s="2375"/>
      <c r="AD5" s="2376"/>
      <c r="AE5" s="2376"/>
      <c r="AF5" s="2376"/>
      <c r="AG5" s="2376"/>
      <c r="AH5" s="2376"/>
      <c r="AI5" s="2376"/>
      <c r="AJ5" s="2377"/>
      <c r="AK5" s="1261" t="s">
        <v>483</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407</v>
      </c>
      <c r="P6" s="2279"/>
      <c r="Q6" s="2279">
        <v>1</v>
      </c>
      <c r="R6" s="360"/>
      <c r="S6" s="1496">
        <f>$J6</f>
      </c>
      <c r="T6" s="289" t="s">
        <v>408</v>
      </c>
      <c r="U6" s="303"/>
      <c r="V6" s="2267"/>
      <c r="W6" s="2268"/>
      <c r="X6" s="2268"/>
      <c r="Y6" s="2268"/>
      <c r="Z6" s="2268"/>
      <c r="AA6" s="2268"/>
      <c r="AB6" s="2269"/>
      <c r="AC6" s="2267"/>
      <c r="AD6" s="2268"/>
      <c r="AE6" s="2268"/>
      <c r="AF6" s="2268"/>
      <c r="AG6" s="2268"/>
      <c r="AH6" s="2268"/>
      <c r="AI6" s="2268"/>
      <c r="AJ6" s="2269"/>
      <c r="AK6" s="1310" t="s">
        <v>484</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62</v>
      </c>
      <c r="AA7" s="2287"/>
      <c r="AB7" s="2129" t="s">
        <v>62</v>
      </c>
      <c r="AC7" s="754"/>
      <c r="AD7" s="754"/>
      <c r="AE7" s="1260"/>
      <c r="AF7" s="2287"/>
      <c r="AG7" s="2129" t="s">
        <v>62</v>
      </c>
      <c r="AH7" s="2309"/>
      <c r="AI7" s="2129" t="s">
        <v>62</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62</v>
      </c>
      <c r="AH15" s="2289"/>
      <c r="AI15" s="2290" t="s">
        <v>62</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301</v>
      </c>
      <c r="T36" s="2149"/>
      <c r="U36" s="2149"/>
      <c r="V36" s="2149"/>
      <c r="W36" s="2149"/>
      <c r="X36" s="2149"/>
      <c r="Y36" s="2149"/>
      <c r="Z36" s="2149"/>
      <c r="AA36" s="2149"/>
      <c r="AB36" s="2149"/>
      <c r="AC36" s="2149"/>
      <c r="AD36" s="2149"/>
      <c r="AE36" s="2149"/>
      <c r="AF36" s="2149"/>
      <c r="AG36" s="2149"/>
      <c r="AH36" s="2149"/>
      <c r="AI36" s="2149"/>
      <c r="AJ36" s="2149"/>
      <c r="AK36" s="2149" t="s">
        <v>302</v>
      </c>
      <c r="AQ36" s="1158">
        <v>14</v>
      </c>
    </row>
    <row customHeight="1" ht="14.699999999999998">
      <c r="Q37" s="379"/>
      <c r="R37" s="379"/>
      <c r="S37" s="2295" t="s">
        <v>88</v>
      </c>
      <c r="T37" s="2231" t="s">
        <v>425</v>
      </c>
      <c r="U37" s="304"/>
      <c r="V37" s="2296" t="s">
        <v>426</v>
      </c>
      <c r="W37" s="2297"/>
      <c r="X37" s="2297"/>
      <c r="Y37" s="2297"/>
      <c r="Z37" s="2297"/>
      <c r="AA37" s="2298"/>
      <c r="AB37" s="2299" t="s">
        <v>427</v>
      </c>
      <c r="AC37" s="2296" t="s">
        <v>426</v>
      </c>
      <c r="AD37" s="2297"/>
      <c r="AE37" s="2297"/>
      <c r="AF37" s="2297"/>
      <c r="AG37" s="2297"/>
      <c r="AH37" s="2298"/>
      <c r="AI37" s="2299" t="s">
        <v>428</v>
      </c>
      <c r="AJ37" s="2302" t="s">
        <v>429</v>
      </c>
      <c r="AK37" s="2149"/>
      <c r="AQ37" s="1158">
        <v>14</v>
      </c>
    </row>
    <row customHeight="1" ht="35.699999999999996">
      <c r="Q38" s="379"/>
      <c r="R38" s="379"/>
      <c r="S38" s="2295"/>
      <c r="T38" s="2231"/>
      <c r="U38" s="1034"/>
      <c r="V38" s="1486" t="s">
        <v>488</v>
      </c>
      <c r="W38" s="2284" t="s">
        <v>432</v>
      </c>
      <c r="X38" s="2285"/>
      <c r="Y38" s="2284" t="s">
        <v>433</v>
      </c>
      <c r="Z38" s="2291"/>
      <c r="AA38" s="2285"/>
      <c r="AB38" s="2300"/>
      <c r="AC38" s="1486" t="s">
        <v>488</v>
      </c>
      <c r="AD38" s="2284" t="s">
        <v>432</v>
      </c>
      <c r="AE38" s="2285"/>
      <c r="AF38" s="2284" t="s">
        <v>433</v>
      </c>
      <c r="AG38" s="2291"/>
      <c r="AH38" s="2285"/>
      <c r="AI38" s="2300"/>
      <c r="AJ38" s="2303"/>
      <c r="AK38" s="2149"/>
      <c r="AQ38" s="1158">
        <v>34</v>
      </c>
    </row>
    <row customHeight="1" ht="90.3">
      <c r="A39" s="1373"/>
      <c r="B39" s="1373" t="s">
        <v>138</v>
      </c>
      <c r="C39" s="1373" t="s">
        <v>139</v>
      </c>
      <c r="D39" s="1373" t="s">
        <v>140</v>
      </c>
      <c r="E39" s="1367" t="s">
        <v>434</v>
      </c>
      <c r="F39" s="1367" t="s">
        <v>435</v>
      </c>
      <c r="G39" s="1367" t="s">
        <v>436</v>
      </c>
      <c r="H39" s="1367"/>
      <c r="I39" s="1367" t="s">
        <v>489</v>
      </c>
      <c r="J39" s="1367" t="s">
        <v>439</v>
      </c>
      <c r="K39" s="1367" t="s">
        <v>490</v>
      </c>
      <c r="L39" s="1367" t="s">
        <v>419</v>
      </c>
      <c r="Q39" s="379"/>
      <c r="R39" s="379"/>
      <c r="S39" s="2295"/>
      <c r="T39" s="2231"/>
      <c r="U39" s="305"/>
      <c r="V39" s="1486" t="s">
        <v>517</v>
      </c>
      <c r="W39" s="1225" t="s">
        <v>518</v>
      </c>
      <c r="X39" s="1225" t="s">
        <v>493</v>
      </c>
      <c r="Y39" s="1492" t="s">
        <v>443</v>
      </c>
      <c r="Z39" s="2292" t="s">
        <v>444</v>
      </c>
      <c r="AA39" s="2293"/>
      <c r="AB39" s="2301"/>
      <c r="AC39" s="1486" t="s">
        <v>517</v>
      </c>
      <c r="AD39" s="1225" t="s">
        <v>518</v>
      </c>
      <c r="AE39" s="1225" t="s">
        <v>493</v>
      </c>
      <c r="AF39" s="1492" t="s">
        <v>443</v>
      </c>
      <c r="AG39" s="2292" t="s">
        <v>444</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99</v>
      </c>
      <c r="T40" s="1258" t="s">
        <v>109</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398</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399</v>
      </c>
      <c r="AM42" s="503"/>
      <c r="AN42" s="503" t="str">
        <f>IF(T42="","",T42)</f>
        <v>Территория действия тарифа</v>
      </c>
      <c r="AO42" s="503"/>
      <c r="AP42" s="503"/>
      <c r="AQ42" s="1158">
        <v>23</v>
      </c>
    </row>
    <row customHeight="1" ht="24">
      <c r="A43" s="1366" t="s">
        <v>272</v>
      </c>
      <c r="B43" s="1366" t="s">
        <v>273</v>
      </c>
      <c r="C43" s="1366" t="s">
        <v>274</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516</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520</v>
      </c>
      <c r="E44" s="2281"/>
      <c r="F44" s="2281"/>
      <c r="G44" s="2281"/>
      <c r="H44" s="2281"/>
      <c r="I44" s="2278" t="str">
        <f>S43&amp;".1"</f>
        <v>...1</v>
      </c>
      <c r="J44" s="1366"/>
      <c r="K44" s="1366"/>
      <c r="L44" s="1367"/>
      <c r="P44" s="2279">
        <v>1</v>
      </c>
      <c r="Q44" s="1484"/>
      <c r="R44" s="359"/>
      <c r="S44" s="1496" t="str">
        <f>$I44</f>
        <v>...1</v>
      </c>
      <c r="T44" s="288" t="s">
        <v>482</v>
      </c>
      <c r="U44" s="303"/>
      <c r="V44" s="2372"/>
      <c r="W44" s="2373"/>
      <c r="X44" s="2373"/>
      <c r="Y44" s="2373"/>
      <c r="Z44" s="2373"/>
      <c r="AA44" s="2373"/>
      <c r="AB44" s="2374"/>
      <c r="AC44" s="2375"/>
      <c r="AD44" s="2376"/>
      <c r="AE44" s="2376"/>
      <c r="AF44" s="2376"/>
      <c r="AG44" s="2376"/>
      <c r="AH44" s="2376"/>
      <c r="AI44" s="2376"/>
      <c r="AJ44" s="2377"/>
      <c r="AK44" s="1261" t="s">
        <v>483</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520</v>
      </c>
      <c r="E45" s="2281"/>
      <c r="F45" s="2281"/>
      <c r="G45" s="2281"/>
      <c r="H45" s="2281"/>
      <c r="I45" s="2308"/>
      <c r="J45" s="2278" t="str">
        <f>I44&amp;".1"</f>
        <v>...1.1</v>
      </c>
      <c r="K45" s="1366"/>
      <c r="L45" s="1367" t="s">
        <v>407</v>
      </c>
      <c r="P45" s="2279"/>
      <c r="Q45" s="2279">
        <v>1</v>
      </c>
      <c r="R45" s="360"/>
      <c r="S45" s="1496" t="str">
        <f>$J45</f>
        <v>...1.1</v>
      </c>
      <c r="T45" s="289" t="s">
        <v>408</v>
      </c>
      <c r="U45" s="303"/>
      <c r="V45" s="2267"/>
      <c r="W45" s="2268"/>
      <c r="X45" s="2268"/>
      <c r="Y45" s="2268"/>
      <c r="Z45" s="2268"/>
      <c r="AA45" s="2268"/>
      <c r="AB45" s="2269"/>
      <c r="AC45" s="2267"/>
      <c r="AD45" s="2268"/>
      <c r="AE45" s="2268"/>
      <c r="AF45" s="2268"/>
      <c r="AG45" s="2268"/>
      <c r="AH45" s="2268"/>
      <c r="AI45" s="2268"/>
      <c r="AJ45" s="2269"/>
      <c r="AK45" s="1310" t="s">
        <v>484</v>
      </c>
      <c r="AM45" s="503"/>
      <c r="AN45" s="503" t="str">
        <f>IF(T45="","",T45)</f>
        <v>Группа потребителей</v>
      </c>
      <c r="AO45" s="503"/>
      <c r="AP45" s="503"/>
      <c r="AQ45" s="1158">
        <v>23</v>
      </c>
    </row>
    <row customHeight="1" ht="24">
      <c r="A46" s="1366" t="s">
        <v>272</v>
      </c>
      <c r="B46" s="1366" t="s">
        <v>273</v>
      </c>
      <c r="C46" s="1366" t="s">
        <v>274</v>
      </c>
      <c r="D46" s="1366" t="s">
        <v>520</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62</v>
      </c>
      <c r="AA46" s="2289"/>
      <c r="AB46" s="2290" t="s">
        <v>62</v>
      </c>
      <c r="AC46" s="754"/>
      <c r="AD46" s="754"/>
      <c r="AE46" s="1260"/>
      <c r="AF46" s="2287"/>
      <c r="AG46" s="2129" t="s">
        <v>62</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520</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272</v>
      </c>
      <c r="B48" s="1366" t="s">
        <v>273</v>
      </c>
      <c r="C48" s="1366" t="s">
        <v>274</v>
      </c>
      <c r="D48" s="1366" t="s">
        <v>520</v>
      </c>
      <c r="E48" s="2281"/>
      <c r="F48" s="2281"/>
      <c r="G48" s="2281"/>
      <c r="H48" s="2281"/>
      <c r="I48" s="2308"/>
      <c r="J48" s="2278"/>
      <c r="K48" s="1366"/>
      <c r="L48" s="1367"/>
      <c r="P48" s="2279"/>
      <c r="Q48" s="2279"/>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520</v>
      </c>
      <c r="E49" s="2281"/>
      <c r="F49" s="2281"/>
      <c r="G49" s="2281"/>
      <c r="H49" s="2281"/>
      <c r="I49" s="2278"/>
      <c r="J49" s="1366"/>
      <c r="K49" s="1366"/>
      <c r="L49" s="1367"/>
      <c r="P49" s="2279"/>
      <c r="Q49" s="1484"/>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520</v>
      </c>
      <c r="E50" s="2281"/>
      <c r="F50" s="2281"/>
      <c r="G50" s="2281"/>
      <c r="H50" s="2280"/>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81"/>
      <c r="F51" s="2280"/>
      <c r="G51" s="1317"/>
      <c r="H51" s="1317"/>
      <c r="I51" s="1317"/>
      <c r="J51" s="1317"/>
      <c r="K51" s="1317"/>
      <c r="L51" s="1497"/>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80"/>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AB462-EA4F-71CE-FC09-0.7919F2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398</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399</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515</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516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403</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404</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498</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499</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521</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466</v>
      </c>
      <c r="AH24" s="1510" t="s">
        <v>466</v>
      </c>
      <c r="AK24" s="1510" t="s">
        <v>503</v>
      </c>
      <c r="AL24" s="1510" t="s">
        <v>466</v>
      </c>
      <c r="AP24" s="1510" t="s">
        <v>466</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"Водоканал"</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301</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302</v>
      </c>
      <c r="BI40" s="1158">
        <v>14</v>
      </c>
    </row>
    <row customHeight="1" ht="14.699999999999998">
      <c r="Q41" s="294"/>
      <c r="R41" s="379"/>
      <c r="S41" s="2295" t="s">
        <v>88</v>
      </c>
      <c r="T41" s="2231" t="s">
        <v>506</v>
      </c>
      <c r="U41" s="304"/>
      <c r="V41" s="2296" t="s">
        <v>426</v>
      </c>
      <c r="W41" s="2297"/>
      <c r="X41" s="2297"/>
      <c r="Y41" s="2297"/>
      <c r="Z41" s="2297"/>
      <c r="AA41" s="2297"/>
      <c r="AB41" s="2298"/>
      <c r="AC41" s="2299" t="s">
        <v>427</v>
      </c>
      <c r="AD41" s="2350" t="s">
        <v>523</v>
      </c>
      <c r="AE41" s="2313"/>
      <c r="AF41" s="2313"/>
      <c r="AG41" s="2351"/>
      <c r="AH41" s="2350" t="s">
        <v>524</v>
      </c>
      <c r="AI41" s="2313"/>
      <c r="AJ41" s="2313"/>
      <c r="AK41" s="2351"/>
      <c r="AL41" s="2350" t="s">
        <v>525</v>
      </c>
      <c r="AM41" s="2313"/>
      <c r="AN41" s="2313"/>
      <c r="AO41" s="2351"/>
      <c r="AP41" s="2350" t="s">
        <v>510</v>
      </c>
      <c r="AQ41" s="2313"/>
      <c r="AR41" s="2313"/>
      <c r="AS41" s="2351"/>
      <c r="AT41" s="2296" t="s">
        <v>426</v>
      </c>
      <c r="AU41" s="2297"/>
      <c r="AV41" s="2297"/>
      <c r="AW41" s="2297"/>
      <c r="AX41" s="2297"/>
      <c r="AY41" s="2297"/>
      <c r="AZ41" s="2298"/>
      <c r="BA41" s="2299" t="s">
        <v>427</v>
      </c>
      <c r="BB41" s="2302" t="s">
        <v>429</v>
      </c>
      <c r="BC41" s="2149"/>
      <c r="BI41" s="1158">
        <v>14</v>
      </c>
    </row>
    <row customHeight="1" ht="35.699999999999996">
      <c r="Q42" s="294"/>
      <c r="R42" s="379"/>
      <c r="S42" s="2295"/>
      <c r="T42" s="2231"/>
      <c r="U42" s="1034"/>
      <c r="V42" s="2214" t="s">
        <v>511</v>
      </c>
      <c r="W42" s="2215"/>
      <c r="X42" s="2214" t="s">
        <v>512</v>
      </c>
      <c r="Y42" s="2215"/>
      <c r="Z42" s="2316" t="s">
        <v>513</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526</v>
      </c>
      <c r="AU42" s="2215"/>
      <c r="AV42" s="2214" t="s">
        <v>527</v>
      </c>
      <c r="AW42" s="2215"/>
      <c r="AX42" s="2316" t="s">
        <v>513</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138</v>
      </c>
      <c r="C44" s="1373" t="s">
        <v>139</v>
      </c>
      <c r="D44" s="1373" t="s">
        <v>140</v>
      </c>
      <c r="E44" s="1367" t="s">
        <v>434</v>
      </c>
      <c r="F44" s="1367" t="s">
        <v>435</v>
      </c>
      <c r="G44" s="1367" t="s">
        <v>436</v>
      </c>
      <c r="H44" s="1367" t="s">
        <v>437</v>
      </c>
      <c r="I44" s="1367" t="s">
        <v>438</v>
      </c>
      <c r="J44" s="1367" t="s">
        <v>439</v>
      </c>
      <c r="K44" s="1367" t="s">
        <v>440</v>
      </c>
      <c r="L44" s="1367" t="s">
        <v>419</v>
      </c>
      <c r="Q44" s="294"/>
      <c r="R44" s="379"/>
      <c r="S44" s="2295"/>
      <c r="T44" s="2231"/>
      <c r="U44" s="305"/>
      <c r="V44" s="1482" t="s">
        <v>475</v>
      </c>
      <c r="W44" s="1482" t="s">
        <v>476</v>
      </c>
      <c r="X44" s="1482" t="s">
        <v>475</v>
      </c>
      <c r="Y44" s="1482" t="s">
        <v>476</v>
      </c>
      <c r="Z44" s="1492" t="s">
        <v>443</v>
      </c>
      <c r="AA44" s="2292" t="s">
        <v>444</v>
      </c>
      <c r="AB44" s="2293"/>
      <c r="AC44" s="2301"/>
      <c r="AD44" s="2355"/>
      <c r="AE44" s="2356"/>
      <c r="AF44" s="2356"/>
      <c r="AG44" s="2357"/>
      <c r="AH44" s="2355"/>
      <c r="AI44" s="2356"/>
      <c r="AJ44" s="2356"/>
      <c r="AK44" s="2357"/>
      <c r="AL44" s="2355"/>
      <c r="AM44" s="2356"/>
      <c r="AN44" s="2356"/>
      <c r="AO44" s="2357"/>
      <c r="AP44" s="2355"/>
      <c r="AQ44" s="2356"/>
      <c r="AR44" s="2356"/>
      <c r="AS44" s="2357"/>
      <c r="AT44" s="1482" t="s">
        <v>475</v>
      </c>
      <c r="AU44" s="1482" t="s">
        <v>476</v>
      </c>
      <c r="AV44" s="1482" t="s">
        <v>475</v>
      </c>
      <c r="AW44" s="1482" t="s">
        <v>476</v>
      </c>
      <c r="AX44" s="1492" t="s">
        <v>443</v>
      </c>
      <c r="AY44" s="2292" t="s">
        <v>444</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99</v>
      </c>
      <c r="T45" s="1258" t="s">
        <v>109</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277</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277</v>
      </c>
      <c r="B47" s="1366" t="s">
        <v>278</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398</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399</v>
      </c>
      <c r="BE47" s="503"/>
      <c r="BF47" s="503" t="str">
        <f>IF(T47="","",T47)</f>
        <v>Территория действия тарифа</v>
      </c>
      <c r="BG47" s="503"/>
      <c r="BH47" s="503"/>
      <c r="BI47" s="1158">
        <v>21</v>
      </c>
    </row>
    <row customHeight="1" ht="35.699999999999996">
      <c r="A48" s="1366" t="s">
        <v>277</v>
      </c>
      <c r="B48" s="1366" t="s">
        <v>278</v>
      </c>
      <c r="C48" s="1366" t="s">
        <v>279</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515</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516</v>
      </c>
      <c r="BE48" s="503"/>
      <c r="BF48" s="503" t="str">
        <f>IF(T48="","",T48)</f>
        <v>Наименование централизованной системы водоотведения</v>
      </c>
      <c r="BG48" s="503"/>
      <c r="BH48" s="503"/>
      <c r="BI48" s="1158">
        <v>34</v>
      </c>
    </row>
    <row s="1645" customFormat="1" customHeight="1" ht="0">
      <c r="A49" s="1346" t="s">
        <v>277</v>
      </c>
      <c r="B49" s="1346" t="s">
        <v>278</v>
      </c>
      <c r="C49" s="1346" t="s">
        <v>279</v>
      </c>
      <c r="D49" s="1346" t="s">
        <v>528</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403</v>
      </c>
      <c r="BE49" s="503"/>
      <c r="BF49" s="503" t="str">
        <f>IF(T49="","",T49)</f>
        <v/>
      </c>
      <c r="BG49" s="503"/>
      <c r="BH49" s="503"/>
      <c r="BI49" s="514">
        <v>0</v>
      </c>
    </row>
    <row s="1645" customFormat="1" customHeight="1" ht="0">
      <c r="A50" s="1346" t="s">
        <v>277</v>
      </c>
      <c r="B50" s="1346" t="s">
        <v>278</v>
      </c>
      <c r="C50" s="1346" t="s">
        <v>279</v>
      </c>
      <c r="D50" s="1346" t="s">
        <v>528</v>
      </c>
      <c r="E50" s="2281"/>
      <c r="F50" s="2281"/>
      <c r="G50" s="2281"/>
      <c r="H50" s="2281"/>
      <c r="I50" s="2278" t="str">
        <f>S49&amp;".1"</f>
        <v>.1</v>
      </c>
      <c r="J50" s="1346"/>
      <c r="K50" s="1346"/>
      <c r="L50" s="1349" t="s">
        <v>404</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277</v>
      </c>
      <c r="B51" s="1346" t="s">
        <v>278</v>
      </c>
      <c r="C51" s="1346" t="s">
        <v>279</v>
      </c>
      <c r="D51" s="1346" t="s">
        <v>528</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277</v>
      </c>
      <c r="B52" s="1366" t="s">
        <v>278</v>
      </c>
      <c r="C52" s="1366" t="s">
        <v>279</v>
      </c>
      <c r="D52" s="1366" t="s">
        <v>528</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498</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499</v>
      </c>
      <c r="AT53" s="1396"/>
      <c r="AU53" s="1499"/>
      <c r="AV53" s="1396"/>
      <c r="AW53" s="1499"/>
      <c r="AX53" s="1396"/>
      <c r="AY53" s="1396"/>
      <c r="AZ53" s="1396"/>
      <c r="BA53" s="1396"/>
      <c r="BB53" s="1400"/>
      <c r="BC53" s="2276"/>
      <c r="BE53" s="503"/>
      <c r="BF53" s="503"/>
      <c r="BG53" s="503"/>
      <c r="BH53" s="503"/>
      <c r="BI53" s="1158">
        <v>11</v>
      </c>
    </row>
    <row customHeight="1" ht="11.549999999999999">
      <c r="A54" s="1366" t="s">
        <v>277</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521</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277</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277</v>
      </c>
      <c r="B56" s="1366" t="s">
        <v>278</v>
      </c>
      <c r="C56" s="1366" t="s">
        <v>279</v>
      </c>
      <c r="D56" s="1366" t="s">
        <v>528</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277</v>
      </c>
      <c r="B57" s="1366" t="s">
        <v>278</v>
      </c>
      <c r="C57" s="1366" t="s">
        <v>279</v>
      </c>
      <c r="D57" s="1366" t="s">
        <v>528</v>
      </c>
      <c r="E57" s="2281"/>
      <c r="F57" s="2281"/>
      <c r="G57" s="2281"/>
      <c r="H57" s="2281"/>
      <c r="I57" s="2308"/>
      <c r="J57" s="2278"/>
      <c r="K57" s="1366"/>
      <c r="L57" s="1367"/>
      <c r="P57" s="2279"/>
      <c r="Q57" s="2279"/>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277</v>
      </c>
      <c r="B58" s="1346" t="s">
        <v>278</v>
      </c>
      <c r="C58" s="1346" t="s">
        <v>279</v>
      </c>
      <c r="D58" s="1346" t="s">
        <v>528</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277</v>
      </c>
      <c r="B59" s="1346" t="s">
        <v>278</v>
      </c>
      <c r="C59" s="1346" t="s">
        <v>279</v>
      </c>
      <c r="D59" s="1346" t="s">
        <v>528</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277</v>
      </c>
      <c r="B60" s="1346" t="s">
        <v>278</v>
      </c>
      <c r="C60" s="1346" t="s">
        <v>279</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277</v>
      </c>
      <c r="B61" s="1346" t="s">
        <v>278</v>
      </c>
      <c r="C61" s="1317"/>
      <c r="D61" s="1317"/>
      <c r="E61" s="2281"/>
      <c r="F61" s="2280"/>
      <c r="G61" s="1317"/>
      <c r="H61" s="1317"/>
      <c r="I61" s="1317"/>
      <c r="J61" s="1317"/>
      <c r="K61" s="1317"/>
      <c r="L61" s="1497"/>
      <c r="M61" s="1324"/>
      <c r="N61" s="1324"/>
      <c r="P61" s="1319"/>
      <c r="Q61" s="1320"/>
      <c r="R61" s="1319"/>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277</v>
      </c>
      <c r="B62" s="1346"/>
      <c r="C62" s="1346"/>
      <c r="D62" s="1346"/>
      <c r="E62" s="2280"/>
      <c r="F62" s="1346"/>
      <c r="G62" s="1346"/>
      <c r="H62" s="1346"/>
      <c r="I62" s="1346"/>
      <c r="J62" s="1346"/>
      <c r="K62" s="1346"/>
      <c r="L62" s="1349"/>
      <c r="M62" s="1324"/>
      <c r="N62" s="1324"/>
      <c r="O62" s="521"/>
      <c r="P62" s="383"/>
      <c r="Q62" s="1347"/>
      <c r="R62" s="383"/>
      <c r="S62" s="1325"/>
      <c r="T62" s="1328" t="s">
        <v>417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99116-CC4A-882A-CA84-0.632B069B}" mc:Ignorable="x14ac xr xr2 xr3">
  <sheetPr>
    <tabColor rgb="FFCCCCFF"/>
    <pageSetUpPr fitToPage="1"/>
  </sheetPr>
  <dimension ref="A1:AC29"/>
  <sheetViews>
    <sheetView topLeftCell="A1" showGridLines="0" zoomScale="90" workbookViewId="0">
      <selection activeCell="AB27" sqref="AB27"/>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86</v>
      </c>
      <c r="F8" s="2124"/>
      <c r="G8" s="2125"/>
      <c r="H8" s="2126" t="s">
        <v>87</v>
      </c>
      <c r="I8" s="2126"/>
      <c r="J8" s="158"/>
      <c r="K8" s="158"/>
      <c r="L8" s="158"/>
      <c r="M8" s="158"/>
      <c r="N8" s="229"/>
      <c r="O8" s="158"/>
      <c r="P8" s="228"/>
      <c r="Q8" s="228"/>
      <c r="R8" s="228"/>
      <c r="S8" s="228"/>
      <c r="AC8" s="119">
        <v>14</v>
      </c>
    </row>
    <row s="1821"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1" customFormat="1" customHeight="1" ht="15">
      <c r="A12" s="2121">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 Горно-Алтайск(84701000)</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5E96D-FC0B-9242-3D12-0.2BFDC4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398</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399</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529</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482</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483</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407</v>
      </c>
      <c r="P6" s="2279"/>
      <c r="Q6" s="2279">
        <v>1</v>
      </c>
      <c r="R6" s="360"/>
      <c r="S6" s="1496">
        <f>$J6</f>
      </c>
      <c r="T6" s="289" t="s">
        <v>408</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484</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62</v>
      </c>
      <c r="AE7" s="2287"/>
      <c r="AF7" s="2129" t="s">
        <v>62</v>
      </c>
      <c r="AG7" s="754"/>
      <c r="AH7" s="754"/>
      <c r="AI7" s="754"/>
      <c r="AJ7" s="754"/>
      <c r="AK7" s="754"/>
      <c r="AL7" s="754"/>
      <c r="AM7" s="754"/>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413</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62</v>
      </c>
      <c r="AP15" s="2289"/>
      <c r="AQ15" s="2290" t="s">
        <v>62</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B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АО "Водоканал"</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301</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302</v>
      </c>
      <c r="AY36" s="1158">
        <v>14</v>
      </c>
    </row>
    <row customHeight="1" ht="14.699999999999998">
      <c r="Q37" s="379"/>
      <c r="R37" s="379"/>
      <c r="S37" s="2295" t="s">
        <v>88</v>
      </c>
      <c r="T37" s="2231" t="s">
        <v>425</v>
      </c>
      <c r="U37" s="304"/>
      <c r="V37" s="2296" t="s">
        <v>426</v>
      </c>
      <c r="W37" s="2313"/>
      <c r="X37" s="2313"/>
      <c r="Y37" s="2313"/>
      <c r="Z37" s="2313"/>
      <c r="AA37" s="2313"/>
      <c r="AB37" s="2313"/>
      <c r="AC37" s="2297"/>
      <c r="AD37" s="2297"/>
      <c r="AE37" s="2298"/>
      <c r="AF37" s="2299" t="s">
        <v>427</v>
      </c>
      <c r="AG37" s="2296" t="s">
        <v>426</v>
      </c>
      <c r="AH37" s="2297"/>
      <c r="AI37" s="2297"/>
      <c r="AJ37" s="2297"/>
      <c r="AK37" s="2297"/>
      <c r="AL37" s="2297"/>
      <c r="AM37" s="2297"/>
      <c r="AN37" s="2297"/>
      <c r="AO37" s="2297"/>
      <c r="AP37" s="2298"/>
      <c r="AQ37" s="2299" t="s">
        <v>428</v>
      </c>
      <c r="AR37" s="2302" t="s">
        <v>429</v>
      </c>
      <c r="AS37" s="2149"/>
      <c r="AY37" s="1158">
        <v>14</v>
      </c>
    </row>
    <row customHeight="1" ht="19.95">
      <c r="Q38" s="379"/>
      <c r="R38" s="379"/>
      <c r="S38" s="2295"/>
      <c r="T38" s="2231"/>
      <c r="U38" s="1034"/>
      <c r="V38" s="2388" t="s">
        <v>531</v>
      </c>
      <c r="W38" s="2387" t="s">
        <v>532</v>
      </c>
      <c r="X38" s="2387"/>
      <c r="Y38" s="2387"/>
      <c r="Z38" s="2387" t="s">
        <v>533</v>
      </c>
      <c r="AA38" s="2387"/>
      <c r="AB38" s="2387"/>
      <c r="AC38" s="2316" t="s">
        <v>433</v>
      </c>
      <c r="AD38" s="2335"/>
      <c r="AE38" s="2336"/>
      <c r="AF38" s="2300"/>
      <c r="AG38" s="2388" t="s">
        <v>531</v>
      </c>
      <c r="AH38" s="2387" t="s">
        <v>532</v>
      </c>
      <c r="AI38" s="2387"/>
      <c r="AJ38" s="2387"/>
      <c r="AK38" s="2387" t="s">
        <v>533</v>
      </c>
      <c r="AL38" s="2387"/>
      <c r="AM38" s="2387"/>
      <c r="AN38" s="2316" t="s">
        <v>433</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534</v>
      </c>
      <c r="X39" s="2387" t="s">
        <v>535</v>
      </c>
      <c r="Y39" s="2387"/>
      <c r="Z39" s="2387" t="s">
        <v>536</v>
      </c>
      <c r="AA39" s="2387" t="s">
        <v>535</v>
      </c>
      <c r="AB39" s="2387"/>
      <c r="AC39" s="2317"/>
      <c r="AD39" s="2337"/>
      <c r="AE39" s="2338"/>
      <c r="AF39" s="2300"/>
      <c r="AG39" s="2388"/>
      <c r="AH39" s="2387" t="s">
        <v>534</v>
      </c>
      <c r="AI39" s="2387" t="s">
        <v>535</v>
      </c>
      <c r="AJ39" s="2387"/>
      <c r="AK39" s="2387" t="s">
        <v>536</v>
      </c>
      <c r="AL39" s="2387" t="s">
        <v>535</v>
      </c>
      <c r="AM39" s="2387"/>
      <c r="AN39" s="2317"/>
      <c r="AO39" s="2337"/>
      <c r="AP39" s="2338"/>
      <c r="AQ39" s="2300"/>
      <c r="AR39" s="2303"/>
      <c r="AS39" s="2149"/>
      <c r="AT39" s="1639"/>
      <c r="AU39" s="1639"/>
      <c r="AV39" s="1639"/>
      <c r="AW39" s="1639"/>
      <c r="AX39" s="1639"/>
      <c r="AY39" s="1634">
        <v>19</v>
      </c>
    </row>
    <row customHeight="1" ht="61.949999999999996">
      <c r="A40" s="1373"/>
      <c r="B40" s="1373" t="s">
        <v>138</v>
      </c>
      <c r="C40" s="1373" t="s">
        <v>139</v>
      </c>
      <c r="D40" s="1373" t="s">
        <v>140</v>
      </c>
      <c r="E40" s="1367" t="s">
        <v>434</v>
      </c>
      <c r="F40" s="1367" t="s">
        <v>435</v>
      </c>
      <c r="G40" s="1367" t="s">
        <v>436</v>
      </c>
      <c r="H40" s="1367"/>
      <c r="I40" s="1367" t="s">
        <v>489</v>
      </c>
      <c r="J40" s="1367" t="s">
        <v>439</v>
      </c>
      <c r="K40" s="1367" t="s">
        <v>490</v>
      </c>
      <c r="L40" s="1367" t="s">
        <v>419</v>
      </c>
      <c r="Q40" s="379"/>
      <c r="R40" s="379"/>
      <c r="S40" s="2295"/>
      <c r="T40" s="2231"/>
      <c r="U40" s="305"/>
      <c r="V40" s="2388"/>
      <c r="W40" s="2387"/>
      <c r="X40" s="1983" t="s">
        <v>537</v>
      </c>
      <c r="Y40" s="1983" t="s">
        <v>538</v>
      </c>
      <c r="Z40" s="2387"/>
      <c r="AA40" s="1983" t="s">
        <v>539</v>
      </c>
      <c r="AB40" s="1983" t="s">
        <v>540</v>
      </c>
      <c r="AC40" s="1492" t="s">
        <v>443</v>
      </c>
      <c r="AD40" s="2292" t="s">
        <v>444</v>
      </c>
      <c r="AE40" s="2293"/>
      <c r="AF40" s="2301"/>
      <c r="AG40" s="2388"/>
      <c r="AH40" s="2387"/>
      <c r="AI40" s="1983" t="s">
        <v>537</v>
      </c>
      <c r="AJ40" s="1983" t="s">
        <v>538</v>
      </c>
      <c r="AK40" s="2387"/>
      <c r="AL40" s="1983" t="s">
        <v>539</v>
      </c>
      <c r="AM40" s="1983" t="s">
        <v>540</v>
      </c>
      <c r="AN40" s="1492" t="s">
        <v>443</v>
      </c>
      <c r="AO40" s="2292" t="s">
        <v>444</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99</v>
      </c>
      <c r="T41" s="1258" t="s">
        <v>109</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252</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252</v>
      </c>
      <c r="B43" s="1366" t="s">
        <v>253</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398</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399</v>
      </c>
      <c r="AU43" s="503"/>
      <c r="AV43" s="503" t="str">
        <f>IF(T43="","",T43)</f>
        <v>Территория действия тарифа</v>
      </c>
      <c r="AW43" s="503"/>
      <c r="AX43" s="503"/>
      <c r="AY43" s="1158">
        <v>23</v>
      </c>
    </row>
    <row customHeight="1" ht="24">
      <c r="A44" s="1366" t="s">
        <v>252</v>
      </c>
      <c r="B44" s="1366" t="s">
        <v>253</v>
      </c>
      <c r="C44" s="1366" t="s">
        <v>254</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252</v>
      </c>
      <c r="B45" s="1366" t="s">
        <v>253</v>
      </c>
      <c r="C45" s="1366" t="s">
        <v>254</v>
      </c>
      <c r="D45" s="1366" t="s">
        <v>541</v>
      </c>
      <c r="E45" s="2281"/>
      <c r="F45" s="2281"/>
      <c r="G45" s="2281"/>
      <c r="H45" s="2281"/>
      <c r="I45" s="2278" t="str">
        <f>S44&amp;".1"</f>
        <v>...1</v>
      </c>
      <c r="J45" s="1366"/>
      <c r="K45" s="1366"/>
      <c r="L45" s="1367"/>
      <c r="P45" s="2279">
        <v>1</v>
      </c>
      <c r="Q45" s="1484"/>
      <c r="R45" s="359"/>
      <c r="S45" s="1496" t="str">
        <f>$I45</f>
        <v>...1</v>
      </c>
      <c r="T45" s="288" t="s">
        <v>482</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483</v>
      </c>
      <c r="AU45" s="503"/>
      <c r="AV45" s="503" t="str">
        <f>IF(T45="","",T45)</f>
        <v>Наименование признака дифференциации</v>
      </c>
      <c r="AW45" s="503"/>
      <c r="AX45" s="503"/>
      <c r="AY45" s="1158">
        <v>23</v>
      </c>
    </row>
    <row customHeight="1" ht="24">
      <c r="A46" s="1366" t="s">
        <v>252</v>
      </c>
      <c r="B46" s="1366" t="s">
        <v>253</v>
      </c>
      <c r="C46" s="1366" t="s">
        <v>254</v>
      </c>
      <c r="D46" s="1366" t="s">
        <v>541</v>
      </c>
      <c r="E46" s="2281"/>
      <c r="F46" s="2281"/>
      <c r="G46" s="2281"/>
      <c r="H46" s="2281"/>
      <c r="I46" s="2308"/>
      <c r="J46" s="2278" t="str">
        <f>I45&amp;".1"</f>
        <v>...1.1</v>
      </c>
      <c r="K46" s="1366"/>
      <c r="L46" s="1367" t="s">
        <v>407</v>
      </c>
      <c r="P46" s="2279"/>
      <c r="Q46" s="2279">
        <v>1</v>
      </c>
      <c r="R46" s="360"/>
      <c r="S46" s="1496" t="str">
        <f>$J46</f>
        <v>...1.1</v>
      </c>
      <c r="T46" s="289" t="s">
        <v>408</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484</v>
      </c>
      <c r="AU46" s="503"/>
      <c r="AV46" s="503" t="str">
        <f>IF(T46="","",T46)</f>
        <v>Группа потребителей</v>
      </c>
      <c r="AW46" s="503"/>
      <c r="AX46" s="503"/>
      <c r="AY46" s="1158">
        <v>23</v>
      </c>
    </row>
    <row customHeight="1" ht="24">
      <c r="A47" s="1366" t="s">
        <v>252</v>
      </c>
      <c r="B47" s="1366" t="s">
        <v>253</v>
      </c>
      <c r="C47" s="1366" t="s">
        <v>254</v>
      </c>
      <c r="D47" s="1366" t="s">
        <v>541</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62</v>
      </c>
      <c r="AE47" s="2289"/>
      <c r="AF47" s="2290" t="s">
        <v>62</v>
      </c>
      <c r="AG47" s="754"/>
      <c r="AH47" s="754"/>
      <c r="AI47" s="754"/>
      <c r="AJ47" s="754"/>
      <c r="AK47" s="754"/>
      <c r="AL47" s="754"/>
      <c r="AM47" s="754"/>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252</v>
      </c>
      <c r="B48" s="1366" t="s">
        <v>253</v>
      </c>
      <c r="C48" s="1366" t="s">
        <v>254</v>
      </c>
      <c r="D48" s="1366" t="s">
        <v>541</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252</v>
      </c>
      <c r="B49" s="1366" t="s">
        <v>253</v>
      </c>
      <c r="C49" s="1366" t="s">
        <v>254</v>
      </c>
      <c r="D49" s="1366" t="s">
        <v>541</v>
      </c>
      <c r="E49" s="2281"/>
      <c r="F49" s="2281"/>
      <c r="G49" s="2281"/>
      <c r="H49" s="2281"/>
      <c r="I49" s="2308"/>
      <c r="J49" s="2278"/>
      <c r="K49" s="1366"/>
      <c r="L49" s="1367"/>
      <c r="P49" s="2279"/>
      <c r="Q49" s="2279"/>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252</v>
      </c>
      <c r="B50" s="1366" t="s">
        <v>253</v>
      </c>
      <c r="C50" s="1366" t="s">
        <v>254</v>
      </c>
      <c r="D50" s="1366" t="s">
        <v>541</v>
      </c>
      <c r="E50" s="2281"/>
      <c r="F50" s="2281"/>
      <c r="G50" s="2281"/>
      <c r="H50" s="2281"/>
      <c r="I50" s="2278"/>
      <c r="J50" s="1366"/>
      <c r="K50" s="1366"/>
      <c r="L50" s="1367"/>
      <c r="P50" s="2279"/>
      <c r="Q50" s="1484"/>
      <c r="R50" s="359"/>
      <c r="S50" s="1281"/>
      <c r="T50" s="368" t="s">
        <v>413</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252</v>
      </c>
      <c r="B51" s="1366" t="s">
        <v>253</v>
      </c>
      <c r="C51" s="1366" t="s">
        <v>254</v>
      </c>
      <c r="D51" s="1366" t="s">
        <v>541</v>
      </c>
      <c r="E51" s="2281"/>
      <c r="F51" s="2281"/>
      <c r="G51" s="2281"/>
      <c r="H51" s="2280"/>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252</v>
      </c>
      <c r="B52" s="1346" t="s">
        <v>253</v>
      </c>
      <c r="C52" s="1317"/>
      <c r="D52" s="1317"/>
      <c r="E52" s="2281"/>
      <c r="F52" s="2280"/>
      <c r="G52" s="1317"/>
      <c r="H52" s="1317"/>
      <c r="I52" s="1317"/>
      <c r="J52" s="1317"/>
      <c r="K52" s="1317"/>
      <c r="L52" s="1497"/>
      <c r="M52" s="1324"/>
      <c r="N52" s="132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252</v>
      </c>
      <c r="B53" s="1346"/>
      <c r="C53" s="1346"/>
      <c r="D53" s="1346"/>
      <c r="E53" s="2280"/>
      <c r="F53" s="1346"/>
      <c r="G53" s="1346"/>
      <c r="H53" s="1346"/>
      <c r="I53" s="1346"/>
      <c r="J53" s="1346"/>
      <c r="K53" s="1346"/>
      <c r="L53" s="1349"/>
      <c r="M53" s="1324"/>
      <c r="N53" s="1324"/>
      <c r="O53" s="521"/>
      <c r="P53" s="383"/>
      <c r="Q53" s="1347"/>
      <c r="R53" s="383"/>
      <c r="S53" s="1325"/>
      <c r="T53" s="1328" t="s">
        <v>417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A92A8-AF5E-D464-83FE-0.741B869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398</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399</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529</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482</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483</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407</v>
      </c>
      <c r="P6" s="2279"/>
      <c r="Q6" s="2279">
        <v>1</v>
      </c>
      <c r="R6" s="360"/>
      <c r="S6" s="1496">
        <f>$J6</f>
      </c>
      <c r="T6" s="289" t="s">
        <v>408</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484</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62</v>
      </c>
      <c r="AE7" s="2287"/>
      <c r="AF7" s="2129" t="s">
        <v>62</v>
      </c>
      <c r="AG7" s="754"/>
      <c r="AH7" s="754"/>
      <c r="AI7" s="754"/>
      <c r="AJ7" s="754"/>
      <c r="AK7" s="754"/>
      <c r="AL7" s="754"/>
      <c r="AM7" s="1260"/>
      <c r="AN7" s="2287"/>
      <c r="AO7" s="2129" t="s">
        <v>62</v>
      </c>
      <c r="AP7" s="2309"/>
      <c r="AQ7" s="2129" t="s">
        <v>62</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413</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62</v>
      </c>
      <c r="AP15" s="2289"/>
      <c r="AQ15" s="2290" t="s">
        <v>62</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АО "Водоканал"</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301</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302</v>
      </c>
      <c r="AY36" s="1158">
        <v>14</v>
      </c>
    </row>
    <row customHeight="1" ht="14.699999999999998">
      <c r="Q37" s="379"/>
      <c r="R37" s="379"/>
      <c r="S37" s="2295" t="s">
        <v>88</v>
      </c>
      <c r="T37" s="2231" t="s">
        <v>425</v>
      </c>
      <c r="U37" s="304"/>
      <c r="V37" s="2296" t="s">
        <v>426</v>
      </c>
      <c r="W37" s="2297"/>
      <c r="X37" s="2297"/>
      <c r="Y37" s="2297"/>
      <c r="Z37" s="2297"/>
      <c r="AA37" s="2297"/>
      <c r="AB37" s="2297"/>
      <c r="AC37" s="2297"/>
      <c r="AD37" s="2297"/>
      <c r="AE37" s="2298"/>
      <c r="AF37" s="2299" t="s">
        <v>427</v>
      </c>
      <c r="AG37" s="2296" t="s">
        <v>426</v>
      </c>
      <c r="AH37" s="2297"/>
      <c r="AI37" s="2297"/>
      <c r="AJ37" s="2297"/>
      <c r="AK37" s="2297"/>
      <c r="AL37" s="2297"/>
      <c r="AM37" s="2297"/>
      <c r="AN37" s="2297"/>
      <c r="AO37" s="2297"/>
      <c r="AP37" s="2298"/>
      <c r="AQ37" s="2299" t="s">
        <v>428</v>
      </c>
      <c r="AR37" s="2302" t="s">
        <v>429</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531</v>
      </c>
      <c r="W38" s="2387" t="s">
        <v>532</v>
      </c>
      <c r="X38" s="2387"/>
      <c r="Y38" s="2387"/>
      <c r="Z38" s="2387" t="s">
        <v>533</v>
      </c>
      <c r="AA38" s="2387"/>
      <c r="AB38" s="2387"/>
      <c r="AC38" s="2316" t="s">
        <v>433</v>
      </c>
      <c r="AD38" s="2335"/>
      <c r="AE38" s="2336"/>
      <c r="AF38" s="2300"/>
      <c r="AG38" s="2388" t="s">
        <v>531</v>
      </c>
      <c r="AH38" s="2387" t="s">
        <v>532</v>
      </c>
      <c r="AI38" s="2387"/>
      <c r="AJ38" s="2387"/>
      <c r="AK38" s="2387" t="s">
        <v>533</v>
      </c>
      <c r="AL38" s="2387"/>
      <c r="AM38" s="2387"/>
      <c r="AN38" s="2316" t="s">
        <v>433</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534</v>
      </c>
      <c r="X39" s="2387" t="s">
        <v>535</v>
      </c>
      <c r="Y39" s="2387"/>
      <c r="Z39" s="2387" t="s">
        <v>536</v>
      </c>
      <c r="AA39" s="2387" t="s">
        <v>535</v>
      </c>
      <c r="AB39" s="2387"/>
      <c r="AC39" s="2317"/>
      <c r="AD39" s="2337"/>
      <c r="AE39" s="2338"/>
      <c r="AF39" s="2300"/>
      <c r="AG39" s="2388"/>
      <c r="AH39" s="2387" t="s">
        <v>534</v>
      </c>
      <c r="AI39" s="2387" t="s">
        <v>535</v>
      </c>
      <c r="AJ39" s="2387"/>
      <c r="AK39" s="2387" t="s">
        <v>536</v>
      </c>
      <c r="AL39" s="2387" t="s">
        <v>535</v>
      </c>
      <c r="AM39" s="2387"/>
      <c r="AN39" s="2317"/>
      <c r="AO39" s="2337"/>
      <c r="AP39" s="2338"/>
      <c r="AQ39" s="2300"/>
      <c r="AR39" s="2303"/>
      <c r="AS39" s="2149"/>
      <c r="AY39" s="1158">
        <v>19</v>
      </c>
    </row>
    <row customHeight="1" ht="61.949999999999996">
      <c r="A40" s="1373"/>
      <c r="B40" s="1373" t="s">
        <v>138</v>
      </c>
      <c r="C40" s="1373" t="s">
        <v>139</v>
      </c>
      <c r="D40" s="1373" t="s">
        <v>140</v>
      </c>
      <c r="E40" s="1367" t="s">
        <v>434</v>
      </c>
      <c r="F40" s="1367" t="s">
        <v>435</v>
      </c>
      <c r="G40" s="1367" t="s">
        <v>436</v>
      </c>
      <c r="H40" s="1367"/>
      <c r="I40" s="1367" t="s">
        <v>489</v>
      </c>
      <c r="J40" s="1367" t="s">
        <v>439</v>
      </c>
      <c r="K40" s="1367" t="s">
        <v>490</v>
      </c>
      <c r="L40" s="1367" t="s">
        <v>419</v>
      </c>
      <c r="Q40" s="379"/>
      <c r="R40" s="379"/>
      <c r="S40" s="2295"/>
      <c r="T40" s="2231"/>
      <c r="U40" s="305"/>
      <c r="V40" s="2388"/>
      <c r="W40" s="2387"/>
      <c r="X40" s="1983" t="s">
        <v>537</v>
      </c>
      <c r="Y40" s="1983" t="s">
        <v>538</v>
      </c>
      <c r="Z40" s="2387"/>
      <c r="AA40" s="1983" t="s">
        <v>539</v>
      </c>
      <c r="AB40" s="1983" t="s">
        <v>540</v>
      </c>
      <c r="AC40" s="1492" t="s">
        <v>443</v>
      </c>
      <c r="AD40" s="2292" t="s">
        <v>444</v>
      </c>
      <c r="AE40" s="2293"/>
      <c r="AF40" s="2301"/>
      <c r="AG40" s="2388"/>
      <c r="AH40" s="2387"/>
      <c r="AI40" s="1983" t="s">
        <v>537</v>
      </c>
      <c r="AJ40" s="1983" t="s">
        <v>538</v>
      </c>
      <c r="AK40" s="2387"/>
      <c r="AL40" s="1983" t="s">
        <v>539</v>
      </c>
      <c r="AM40" s="1983" t="s">
        <v>540</v>
      </c>
      <c r="AN40" s="1492" t="s">
        <v>443</v>
      </c>
      <c r="AO40" s="2292" t="s">
        <v>444</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99</v>
      </c>
      <c r="T41" s="1258" t="s">
        <v>109</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398</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399</v>
      </c>
      <c r="AU43" s="503"/>
      <c r="AV43" s="503" t="str">
        <f>IF(T43="","",T43)</f>
        <v>Территория действия тарифа</v>
      </c>
      <c r="AW43" s="503"/>
      <c r="AX43" s="503"/>
      <c r="AY43" s="1158">
        <v>23</v>
      </c>
    </row>
    <row customHeight="1" ht="24">
      <c r="A44" s="1366" t="s">
        <v>257</v>
      </c>
      <c r="B44" s="1366" t="s">
        <v>258</v>
      </c>
      <c r="C44" s="1366" t="s">
        <v>259</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542</v>
      </c>
      <c r="E45" s="2281"/>
      <c r="F45" s="2281"/>
      <c r="G45" s="2281"/>
      <c r="H45" s="2281"/>
      <c r="I45" s="2278" t="str">
        <f>S44&amp;".1"</f>
        <v>...1</v>
      </c>
      <c r="J45" s="1366"/>
      <c r="K45" s="1366"/>
      <c r="L45" s="1367"/>
      <c r="P45" s="2279">
        <v>1</v>
      </c>
      <c r="Q45" s="1484"/>
      <c r="R45" s="359"/>
      <c r="S45" s="1496" t="str">
        <f>$I45</f>
        <v>...1</v>
      </c>
      <c r="T45" s="288" t="s">
        <v>482</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483</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542</v>
      </c>
      <c r="E46" s="2281"/>
      <c r="F46" s="2281"/>
      <c r="G46" s="2281"/>
      <c r="H46" s="2281"/>
      <c r="I46" s="2308"/>
      <c r="J46" s="2278" t="str">
        <f>I45&amp;".1"</f>
        <v>...1.1</v>
      </c>
      <c r="K46" s="1366"/>
      <c r="L46" s="1367" t="s">
        <v>407</v>
      </c>
      <c r="P46" s="2279"/>
      <c r="Q46" s="2279">
        <v>1</v>
      </c>
      <c r="R46" s="360"/>
      <c r="S46" s="1496" t="str">
        <f>$J46</f>
        <v>...1.1</v>
      </c>
      <c r="T46" s="289" t="s">
        <v>408</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484</v>
      </c>
      <c r="AU46" s="503"/>
      <c r="AV46" s="503" t="str">
        <f>IF(T46="","",T46)</f>
        <v>Группа потребителей</v>
      </c>
      <c r="AW46" s="503"/>
      <c r="AX46" s="503"/>
      <c r="AY46" s="1158">
        <v>23</v>
      </c>
    </row>
    <row customHeight="1" ht="24">
      <c r="A47" s="1366" t="s">
        <v>257</v>
      </c>
      <c r="B47" s="1366" t="s">
        <v>258</v>
      </c>
      <c r="C47" s="1366" t="s">
        <v>259</v>
      </c>
      <c r="D47" s="1366" t="s">
        <v>542</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62</v>
      </c>
      <c r="AE47" s="2289"/>
      <c r="AF47" s="2290" t="s">
        <v>62</v>
      </c>
      <c r="AG47" s="754"/>
      <c r="AH47" s="754"/>
      <c r="AI47" s="754"/>
      <c r="AJ47" s="754"/>
      <c r="AK47" s="754"/>
      <c r="AL47" s="754"/>
      <c r="AM47" s="1260"/>
      <c r="AN47" s="2287"/>
      <c r="AO47" s="2129" t="s">
        <v>62</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542</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257</v>
      </c>
      <c r="B49" s="1366" t="s">
        <v>258</v>
      </c>
      <c r="C49" s="1366" t="s">
        <v>259</v>
      </c>
      <c r="D49" s="1366" t="s">
        <v>542</v>
      </c>
      <c r="E49" s="2281"/>
      <c r="F49" s="2281"/>
      <c r="G49" s="2281"/>
      <c r="H49" s="2281"/>
      <c r="I49" s="2308"/>
      <c r="J49" s="2278"/>
      <c r="K49" s="1366"/>
      <c r="L49" s="1367"/>
      <c r="P49" s="2279"/>
      <c r="Q49" s="2279"/>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542</v>
      </c>
      <c r="E50" s="2281"/>
      <c r="F50" s="2281"/>
      <c r="G50" s="2281"/>
      <c r="H50" s="2281"/>
      <c r="I50" s="2278"/>
      <c r="J50" s="1366"/>
      <c r="K50" s="1366"/>
      <c r="L50" s="1367"/>
      <c r="P50" s="2279"/>
      <c r="Q50" s="1484"/>
      <c r="R50" s="359"/>
      <c r="S50" s="1281"/>
      <c r="T50" s="368" t="s">
        <v>413</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542</v>
      </c>
      <c r="E51" s="2281"/>
      <c r="F51" s="2281"/>
      <c r="G51" s="2281"/>
      <c r="H51" s="2280"/>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81"/>
      <c r="F52" s="2280"/>
      <c r="G52" s="1317"/>
      <c r="H52" s="1317"/>
      <c r="I52" s="1317"/>
      <c r="J52" s="1317"/>
      <c r="K52" s="1317"/>
      <c r="L52" s="1497"/>
      <c r="M52" s="1324"/>
      <c r="N52" s="132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80"/>
      <c r="F53" s="1346"/>
      <c r="G53" s="1346"/>
      <c r="H53" s="1346"/>
      <c r="I53" s="1346"/>
      <c r="J53" s="1346"/>
      <c r="K53" s="1346"/>
      <c r="L53" s="1349"/>
      <c r="M53" s="1324"/>
      <c r="N53" s="1324"/>
      <c r="O53" s="521"/>
      <c r="P53" s="383"/>
      <c r="Q53" s="1347"/>
      <c r="R53" s="383"/>
      <c r="S53" s="1325"/>
      <c r="T53" s="1328" t="s">
        <v>417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3D5FD-E72F-0996-19C5-0.BBA344B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398</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399</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529</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530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403</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404</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62</v>
      </c>
      <c r="AB8" s="1736"/>
      <c r="AC8" s="1472" t="s">
        <v>62</v>
      </c>
      <c r="AD8" s="2207" t="s">
        <v>62</v>
      </c>
      <c r="AE8" s="2348"/>
      <c r="AF8" s="2227">
        <v>1</v>
      </c>
      <c r="AG8" s="2385"/>
      <c r="AH8" s="2129" t="s">
        <v>62</v>
      </c>
      <c r="AI8" s="2348"/>
      <c r="AJ8" s="2227">
        <v>1</v>
      </c>
      <c r="AK8" s="2349" t="s">
        <v>22</v>
      </c>
      <c r="AL8" s="2129" t="s">
        <v>62</v>
      </c>
      <c r="AM8" s="2214"/>
      <c r="AN8" s="2227">
        <v>1</v>
      </c>
      <c r="AO8" s="2379"/>
      <c r="AP8" s="2380" t="s">
        <v>62</v>
      </c>
      <c r="AQ8" s="314"/>
      <c r="AR8" s="1489">
        <v>1</v>
      </c>
      <c r="AS8" s="1495" t="s">
        <v>22</v>
      </c>
      <c r="AT8" s="754"/>
      <c r="AU8" s="1260"/>
      <c r="AV8" s="754"/>
      <c r="AW8" s="1260"/>
      <c r="AX8" s="1736"/>
      <c r="AY8" s="1472" t="s">
        <v>62</v>
      </c>
      <c r="AZ8" s="1736"/>
      <c r="BA8" s="1472" t="s">
        <v>62</v>
      </c>
      <c r="BB8" s="1351"/>
      <c r="BC8" s="2275" t="s">
        <v>498</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499</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500</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466</v>
      </c>
      <c r="AH24" s="1510" t="s">
        <v>466</v>
      </c>
      <c r="AK24" s="1510" t="s">
        <v>503</v>
      </c>
      <c r="AL24" s="1510" t="s">
        <v>466</v>
      </c>
      <c r="AP24" s="1510" t="s">
        <v>466</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"Водоканал"</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301</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302</v>
      </c>
      <c r="BI40" s="1158">
        <v>14</v>
      </c>
    </row>
    <row customHeight="1" ht="14.699999999999998">
      <c r="Q41" s="294"/>
      <c r="R41" s="379"/>
      <c r="S41" s="2295" t="s">
        <v>88</v>
      </c>
      <c r="T41" s="2231" t="s">
        <v>506</v>
      </c>
      <c r="U41" s="304"/>
      <c r="V41" s="2296" t="s">
        <v>426</v>
      </c>
      <c r="W41" s="2297"/>
      <c r="X41" s="2297"/>
      <c r="Y41" s="2297"/>
      <c r="Z41" s="2297"/>
      <c r="AA41" s="2297"/>
      <c r="AB41" s="2298"/>
      <c r="AC41" s="2299" t="s">
        <v>427</v>
      </c>
      <c r="AD41" s="2350" t="s">
        <v>507</v>
      </c>
      <c r="AE41" s="2313"/>
      <c r="AF41" s="2313"/>
      <c r="AG41" s="2351"/>
      <c r="AH41" s="2350" t="s">
        <v>508</v>
      </c>
      <c r="AI41" s="2313"/>
      <c r="AJ41" s="2313"/>
      <c r="AK41" s="2351"/>
      <c r="AL41" s="2350" t="s">
        <v>509</v>
      </c>
      <c r="AM41" s="2313"/>
      <c r="AN41" s="2313"/>
      <c r="AO41" s="2351"/>
      <c r="AP41" s="2350" t="s">
        <v>510</v>
      </c>
      <c r="AQ41" s="2313"/>
      <c r="AR41" s="2313"/>
      <c r="AS41" s="2351"/>
      <c r="AT41" s="2296" t="s">
        <v>426</v>
      </c>
      <c r="AU41" s="2297"/>
      <c r="AV41" s="2297"/>
      <c r="AW41" s="2297"/>
      <c r="AX41" s="2297"/>
      <c r="AY41" s="2297"/>
      <c r="AZ41" s="2298"/>
      <c r="BA41" s="2299" t="s">
        <v>427</v>
      </c>
      <c r="BB41" s="2302" t="s">
        <v>429</v>
      </c>
      <c r="BC41" s="2149"/>
      <c r="BI41" s="1158">
        <v>14</v>
      </c>
    </row>
    <row customHeight="1" ht="35.699999999999996">
      <c r="Q42" s="294"/>
      <c r="R42" s="379"/>
      <c r="S42" s="2295"/>
      <c r="T42" s="2231"/>
      <c r="U42" s="1034"/>
      <c r="V42" s="2214" t="s">
        <v>511</v>
      </c>
      <c r="W42" s="2215"/>
      <c r="X42" s="2214" t="s">
        <v>512</v>
      </c>
      <c r="Y42" s="2215"/>
      <c r="Z42" s="2316" t="s">
        <v>513</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511</v>
      </c>
      <c r="AU42" s="2215"/>
      <c r="AV42" s="2214" t="s">
        <v>512</v>
      </c>
      <c r="AW42" s="2215"/>
      <c r="AX42" s="2316" t="s">
        <v>513</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138</v>
      </c>
      <c r="C44" s="1373" t="s">
        <v>139</v>
      </c>
      <c r="D44" s="1373" t="s">
        <v>140</v>
      </c>
      <c r="E44" s="1367" t="s">
        <v>434</v>
      </c>
      <c r="F44" s="1367" t="s">
        <v>435</v>
      </c>
      <c r="G44" s="1367" t="s">
        <v>436</v>
      </c>
      <c r="H44" s="1367" t="s">
        <v>437</v>
      </c>
      <c r="I44" s="1367" t="s">
        <v>438</v>
      </c>
      <c r="J44" s="1367" t="s">
        <v>439</v>
      </c>
      <c r="K44" s="1367" t="s">
        <v>440</v>
      </c>
      <c r="L44" s="1367" t="s">
        <v>419</v>
      </c>
      <c r="Q44" s="294"/>
      <c r="R44" s="379"/>
      <c r="S44" s="2295"/>
      <c r="T44" s="2231"/>
      <c r="U44" s="305"/>
      <c r="V44" s="1482" t="s">
        <v>475</v>
      </c>
      <c r="W44" s="1482" t="s">
        <v>476</v>
      </c>
      <c r="X44" s="1482" t="s">
        <v>475</v>
      </c>
      <c r="Y44" s="1482" t="s">
        <v>476</v>
      </c>
      <c r="Z44" s="1492" t="s">
        <v>443</v>
      </c>
      <c r="AA44" s="2292" t="s">
        <v>444</v>
      </c>
      <c r="AB44" s="2293"/>
      <c r="AC44" s="2301"/>
      <c r="AD44" s="2355"/>
      <c r="AE44" s="2356"/>
      <c r="AF44" s="2356"/>
      <c r="AG44" s="2357"/>
      <c r="AH44" s="2355"/>
      <c r="AI44" s="2356"/>
      <c r="AJ44" s="2356"/>
      <c r="AK44" s="2357"/>
      <c r="AL44" s="2355"/>
      <c r="AM44" s="2356"/>
      <c r="AN44" s="2356"/>
      <c r="AO44" s="2357"/>
      <c r="AP44" s="2355"/>
      <c r="AQ44" s="2356"/>
      <c r="AR44" s="2356"/>
      <c r="AS44" s="2357"/>
      <c r="AT44" s="1482" t="s">
        <v>475</v>
      </c>
      <c r="AU44" s="1482" t="s">
        <v>476</v>
      </c>
      <c r="AV44" s="1482" t="s">
        <v>475</v>
      </c>
      <c r="AW44" s="1482" t="s">
        <v>476</v>
      </c>
      <c r="AX44" s="1492" t="s">
        <v>443</v>
      </c>
      <c r="AY44" s="2292" t="s">
        <v>444</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99</v>
      </c>
      <c r="T45" s="1258" t="s">
        <v>109</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262</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262</v>
      </c>
      <c r="B47" s="1366" t="s">
        <v>263</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398</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399</v>
      </c>
      <c r="BE47" s="503"/>
      <c r="BF47" s="503" t="str">
        <f>IF(T47="","",T47)</f>
        <v>Территория действия тарифа</v>
      </c>
      <c r="BG47" s="503"/>
      <c r="BH47" s="503"/>
      <c r="BI47" s="1158">
        <v>21</v>
      </c>
    </row>
    <row customHeight="1" ht="35.699999999999996">
      <c r="A48" s="1366" t="s">
        <v>262</v>
      </c>
      <c r="B48" s="1366" t="s">
        <v>263</v>
      </c>
      <c r="C48" s="1366" t="s">
        <v>264</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530</v>
      </c>
      <c r="BE48" s="503"/>
      <c r="BF48" s="503" t="str">
        <f>IF(T48="","",T48)</f>
        <v>Наименование централизованной системы горячего водоснабжения</v>
      </c>
      <c r="BG48" s="503"/>
      <c r="BH48" s="503"/>
      <c r="BI48" s="1158">
        <v>34</v>
      </c>
    </row>
    <row s="1645" customFormat="1" customHeight="1" ht="0">
      <c r="A49" s="1346" t="s">
        <v>262</v>
      </c>
      <c r="B49" s="1346" t="s">
        <v>263</v>
      </c>
      <c r="C49" s="1346" t="s">
        <v>264</v>
      </c>
      <c r="D49" s="1346" t="s">
        <v>543</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403</v>
      </c>
      <c r="BE49" s="503"/>
      <c r="BF49" s="503" t="str">
        <f>IF(T49="","",T49)</f>
        <v/>
      </c>
      <c r="BG49" s="503"/>
      <c r="BH49" s="503"/>
      <c r="BI49" s="514">
        <v>0</v>
      </c>
    </row>
    <row s="1645" customFormat="1" customHeight="1" ht="0">
      <c r="A50" s="1346" t="s">
        <v>262</v>
      </c>
      <c r="B50" s="1346" t="s">
        <v>263</v>
      </c>
      <c r="C50" s="1346" t="s">
        <v>264</v>
      </c>
      <c r="D50" s="1346" t="s">
        <v>543</v>
      </c>
      <c r="E50" s="2281"/>
      <c r="F50" s="2281"/>
      <c r="G50" s="2281"/>
      <c r="H50" s="2281"/>
      <c r="I50" s="2278" t="str">
        <f>S49&amp;".1"</f>
        <v>.1</v>
      </c>
      <c r="J50" s="1346"/>
      <c r="K50" s="1346"/>
      <c r="L50" s="1349" t="s">
        <v>404</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262</v>
      </c>
      <c r="B51" s="1346" t="s">
        <v>263</v>
      </c>
      <c r="C51" s="1346" t="s">
        <v>264</v>
      </c>
      <c r="D51" s="1346" t="s">
        <v>543</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262</v>
      </c>
      <c r="B52" s="1366" t="s">
        <v>263</v>
      </c>
      <c r="C52" s="1366" t="s">
        <v>264</v>
      </c>
      <c r="D52" s="1366" t="s">
        <v>543</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62</v>
      </c>
      <c r="AB52" s="1736"/>
      <c r="AC52" s="1472" t="s">
        <v>62</v>
      </c>
      <c r="AD52" s="2207" t="s">
        <v>62</v>
      </c>
      <c r="AE52" s="2348"/>
      <c r="AF52" s="2227">
        <v>1</v>
      </c>
      <c r="AG52" s="2385"/>
      <c r="AH52" s="2129" t="s">
        <v>62</v>
      </c>
      <c r="AI52" s="2348"/>
      <c r="AJ52" s="2227">
        <v>1</v>
      </c>
      <c r="AK52" s="2349" t="s">
        <v>22</v>
      </c>
      <c r="AL52" s="2129" t="s">
        <v>62</v>
      </c>
      <c r="AM52" s="2214"/>
      <c r="AN52" s="2227">
        <v>1</v>
      </c>
      <c r="AO52" s="2379"/>
      <c r="AP52" s="2380" t="s">
        <v>62</v>
      </c>
      <c r="AQ52" s="314"/>
      <c r="AR52" s="1489">
        <v>1</v>
      </c>
      <c r="AS52" s="1495" t="s">
        <v>22</v>
      </c>
      <c r="AT52" s="754"/>
      <c r="AU52" s="1260"/>
      <c r="AV52" s="754"/>
      <c r="AW52" s="1260"/>
      <c r="AX52" s="1736"/>
      <c r="AY52" s="1472" t="s">
        <v>62</v>
      </c>
      <c r="AZ52" s="1736"/>
      <c r="BA52" s="1472" t="s">
        <v>62</v>
      </c>
      <c r="BB52" s="1351"/>
      <c r="BC52" s="2275" t="s">
        <v>498</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499</v>
      </c>
      <c r="AT53" s="1396"/>
      <c r="AU53" s="1499"/>
      <c r="AV53" s="1396"/>
      <c r="AW53" s="1499"/>
      <c r="AX53" s="1396"/>
      <c r="AY53" s="1396"/>
      <c r="AZ53" s="1396"/>
      <c r="BA53" s="1396"/>
      <c r="BB53" s="1400"/>
      <c r="BC53" s="2276"/>
      <c r="BE53" s="503"/>
      <c r="BF53" s="503"/>
      <c r="BG53" s="503"/>
      <c r="BH53" s="503"/>
      <c r="BI53" s="1158">
        <v>11</v>
      </c>
    </row>
    <row customHeight="1" ht="11.549999999999999">
      <c r="A54" s="1366" t="s">
        <v>262</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500</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262</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262</v>
      </c>
      <c r="B56" s="1366" t="s">
        <v>263</v>
      </c>
      <c r="C56" s="1366" t="s">
        <v>264</v>
      </c>
      <c r="D56" s="1366" t="s">
        <v>543</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262</v>
      </c>
      <c r="B57" s="1366" t="s">
        <v>263</v>
      </c>
      <c r="C57" s="1366" t="s">
        <v>264</v>
      </c>
      <c r="D57" s="1366" t="s">
        <v>543</v>
      </c>
      <c r="E57" s="2281"/>
      <c r="F57" s="2281"/>
      <c r="G57" s="2281"/>
      <c r="H57" s="2281"/>
      <c r="I57" s="2308"/>
      <c r="J57" s="2278"/>
      <c r="K57" s="1366"/>
      <c r="L57" s="1367"/>
      <c r="P57" s="2279"/>
      <c r="Q57" s="2279"/>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262</v>
      </c>
      <c r="B58" s="1346" t="s">
        <v>263</v>
      </c>
      <c r="C58" s="1346" t="s">
        <v>264</v>
      </c>
      <c r="D58" s="1346" t="s">
        <v>543</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262</v>
      </c>
      <c r="B59" s="1346" t="s">
        <v>263</v>
      </c>
      <c r="C59" s="1346" t="s">
        <v>264</v>
      </c>
      <c r="D59" s="1346" t="s">
        <v>543</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262</v>
      </c>
      <c r="B60" s="1346" t="s">
        <v>263</v>
      </c>
      <c r="C60" s="1346" t="s">
        <v>264</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262</v>
      </c>
      <c r="B61" s="1346" t="s">
        <v>263</v>
      </c>
      <c r="C61" s="1317"/>
      <c r="D61" s="1317"/>
      <c r="E61" s="2281"/>
      <c r="F61" s="2280"/>
      <c r="G61" s="1317"/>
      <c r="H61" s="1317"/>
      <c r="I61" s="1317"/>
      <c r="J61" s="1317"/>
      <c r="K61" s="1317"/>
      <c r="L61" s="1497"/>
      <c r="M61" s="1324"/>
      <c r="N61" s="1324"/>
      <c r="P61" s="1319"/>
      <c r="Q61" s="1320"/>
      <c r="R61" s="1319"/>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262</v>
      </c>
      <c r="B62" s="1346"/>
      <c r="C62" s="1346"/>
      <c r="D62" s="1346"/>
      <c r="E62" s="2280"/>
      <c r="F62" s="1346"/>
      <c r="G62" s="1346"/>
      <c r="H62" s="1346"/>
      <c r="I62" s="1346"/>
      <c r="J62" s="1346"/>
      <c r="K62" s="1346"/>
      <c r="L62" s="1349"/>
      <c r="M62" s="1324"/>
      <c r="N62" s="1324"/>
      <c r="O62" s="521"/>
      <c r="P62" s="383"/>
      <c r="Q62" s="1347"/>
      <c r="R62" s="383"/>
      <c r="S62" s="1325"/>
      <c r="T62" s="1328" t="s">
        <v>417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6E6F-6A0D-62DE-1C84-0.40015FE9}" mc:Ignorable="x14ac xr xr2 xr3">
  <sheetPr>
    <tabColor theme="9" tint="-0.25"/>
  </sheetPr>
  <dimension ref="A1:AG306"/>
  <sheetViews>
    <sheetView topLeftCell="D20" showGridLines="0" zoomScale="90" workbookViewId="0" tabSelected="1">
      <selection activeCell="D74" sqref="D7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21"/>
      <c r="C2" s="1170" t="s">
        <v>544</v>
      </c>
      <c r="D2" s="1641"/>
      <c r="E2" s="549">
        <f>B2</f>
        <v>0</v>
      </c>
      <c r="F2" s="550"/>
      <c r="G2" s="1649" t="s">
        <v>545</v>
      </c>
      <c r="H2" s="1649" t="s">
        <v>545</v>
      </c>
      <c r="I2" s="1649" t="s">
        <v>545</v>
      </c>
      <c r="J2" s="2388" t="s">
        <v>545</v>
      </c>
      <c r="K2" s="292" t="s">
        <v>546</v>
      </c>
      <c r="L2" s="546"/>
      <c r="AG2" s="1634">
        <v>0</v>
      </c>
    </row>
    <row s="1645" customFormat="1" customHeight="1" ht="0.75" hidden="1">
      <c r="B3" s="2121"/>
      <c r="C3" s="1170"/>
      <c r="D3" s="551"/>
      <c r="E3" s="552"/>
      <c r="F3" s="553" t="s">
        <v>547</v>
      </c>
      <c r="G3" s="554"/>
      <c r="H3" s="1016">
        <f>H4*H5+H6</f>
        <v>0</v>
      </c>
      <c r="I3" s="554">
        <f>I4*I5+I6</f>
        <v>0</v>
      </c>
      <c r="J3" s="1376">
        <f>J4*J5+J6</f>
        <v>0</v>
      </c>
      <c r="K3" s="555"/>
      <c r="AG3" s="1639">
        <v>0</v>
      </c>
    </row>
    <row customHeight="1" ht="23.25" hidden="1">
      <c r="B4" s="2121"/>
      <c r="C4" s="1170"/>
      <c r="D4" s="1641"/>
      <c r="E4" s="549" t="str">
        <f>B2&amp;".1"</f>
        <v>.1</v>
      </c>
      <c r="F4" s="556" t="s">
        <v>548</v>
      </c>
      <c r="G4" s="557"/>
      <c r="H4" s="544"/>
      <c r="I4" s="544"/>
      <c r="J4" s="754"/>
      <c r="K4" s="292" t="s">
        <v>549</v>
      </c>
      <c r="L4" s="546"/>
      <c r="AG4" s="1634">
        <v>0</v>
      </c>
    </row>
    <row customHeight="1" ht="18.75" hidden="1">
      <c r="B5" s="2121"/>
      <c r="C5" s="1170"/>
      <c r="D5" s="1641"/>
      <c r="E5" s="549" t="str">
        <f>B2&amp;".2"</f>
        <v>.2</v>
      </c>
      <c r="F5" s="556" t="s">
        <v>550</v>
      </c>
      <c r="G5" s="1649" t="s">
        <v>551</v>
      </c>
      <c r="H5" s="544"/>
      <c r="I5" s="544"/>
      <c r="J5" s="754"/>
      <c r="K5" s="292"/>
      <c r="L5" s="546"/>
      <c r="AG5" s="1634">
        <v>0</v>
      </c>
    </row>
    <row customHeight="1" ht="18.75" hidden="1">
      <c r="B6" s="2121"/>
      <c r="C6" s="1170"/>
      <c r="D6" s="1641"/>
      <c r="E6" s="549" t="str">
        <f>B2&amp;".3"</f>
        <v>.3</v>
      </c>
      <c r="F6" s="556" t="s">
        <v>552</v>
      </c>
      <c r="G6" s="1649" t="s">
        <v>551</v>
      </c>
      <c r="H6" s="544"/>
      <c r="I6" s="544"/>
      <c r="J6" s="754"/>
      <c r="K6" s="292"/>
      <c r="L6" s="546"/>
      <c r="AG6" s="1634">
        <v>0</v>
      </c>
    </row>
    <row customHeight="1" ht="18.75" hidden="1">
      <c r="B7" s="2121"/>
      <c r="C7" s="1170"/>
      <c r="D7" s="1641"/>
      <c r="E7" s="549" t="str">
        <f>B2&amp;".4"</f>
        <v>.4</v>
      </c>
      <c r="F7" s="556" t="s">
        <v>553</v>
      </c>
      <c r="G7" s="1649" t="s">
        <v>545</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551</v>
      </c>
      <c r="H9" s="544"/>
      <c r="I9" s="544"/>
      <c r="J9" s="754"/>
      <c r="K9" s="545" t="s">
        <v>554</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555</v>
      </c>
      <c r="H11" s="544"/>
      <c r="I11" s="544"/>
      <c r="J11" s="754"/>
      <c r="K11" s="292" t="s">
        <v>556</v>
      </c>
      <c r="L11" s="546"/>
      <c r="AG11" s="1634">
        <v>0</v>
      </c>
    </row>
    <row customHeight="1" ht="11.25" hidden="1">
      <c r="J12" s="1638"/>
      <c r="AG12" s="1634">
        <v>0</v>
      </c>
    </row>
    <row customHeight="1" ht="22.5" hidden="1">
      <c r="D13" s="1641"/>
      <c r="E13" s="549"/>
      <c r="F13" s="543"/>
      <c r="G13" s="972" t="s">
        <v>557</v>
      </c>
      <c r="H13" s="548"/>
      <c r="I13" s="548"/>
      <c r="J13" s="548"/>
      <c r="K13" s="748" t="s">
        <v>558</v>
      </c>
      <c r="L13" s="546"/>
      <c r="AG13" s="1634">
        <v>0</v>
      </c>
    </row>
    <row customHeight="1" ht="11.25" hidden="1">
      <c r="J14" s="1638"/>
      <c r="AG14" s="1634">
        <v>0</v>
      </c>
    </row>
    <row customHeight="1" ht="22.5" hidden="1">
      <c r="D15" s="1641"/>
      <c r="E15" s="549"/>
      <c r="F15" s="543"/>
      <c r="G15" s="1649" t="s">
        <v>559</v>
      </c>
      <c r="H15" s="548"/>
      <c r="I15" s="548"/>
      <c r="J15" s="548"/>
      <c r="K15" s="292" t="s">
        <v>560</v>
      </c>
      <c r="L15" s="546"/>
      <c r="AG15" s="1634">
        <v>0</v>
      </c>
    </row>
    <row customHeight="1" ht="11.25" hidden="1">
      <c r="J16" s="1638"/>
      <c r="AG16" s="1634">
        <v>0</v>
      </c>
    </row>
    <row customHeight="1" ht="22.5" hidden="1">
      <c r="D17" s="1641"/>
      <c r="E17" s="549"/>
      <c r="F17" s="543"/>
      <c r="G17" s="1649" t="s">
        <v>561</v>
      </c>
      <c r="H17" s="548"/>
      <c r="I17" s="548"/>
      <c r="J17" s="548"/>
      <c r="K17" s="292" t="s">
        <v>562</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549999999999999">
      <c r="J20" s="1638"/>
      <c r="AG20" s="1634">
        <v>11</v>
      </c>
    </row>
    <row customHeight="1" ht="25.2">
      <c r="E21" s="227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0"/>
      <c r="G21" s="2270"/>
      <c r="H21" s="2270"/>
      <c r="I21" s="2270"/>
      <c r="J21" s="2270"/>
      <c r="K21" s="559"/>
      <c r="AG21" s="1634">
        <v>24</v>
      </c>
    </row>
    <row customHeight="1" ht="25.2">
      <c r="E22" s="2271" t="str">
        <f>IF(org=0,"Не определено",org)</f>
        <v>АО "Водоканал"</v>
      </c>
      <c r="F22" s="2271"/>
      <c r="G22" s="2271"/>
      <c r="H22" s="2271"/>
      <c r="I22" s="2271"/>
      <c r="J22" s="2271"/>
      <c r="AG22" s="1634">
        <v>24</v>
      </c>
    </row>
    <row customHeight="1" ht="11.549999999999999">
      <c r="E23" s="1138"/>
      <c r="F23" s="1138"/>
      <c r="G23" s="1138"/>
      <c r="H23" s="1138"/>
      <c r="I23" s="1138"/>
      <c r="J23" s="1139" t="s">
        <v>22</v>
      </c>
      <c r="AG23" s="1634">
        <v>11</v>
      </c>
    </row>
    <row s="1645" customFormat="1" customHeight="1" ht="1.05">
      <c r="A24" s="1170"/>
      <c r="D24" s="1645"/>
      <c r="H24" s="892"/>
      <c r="I24" s="892" t="s">
        <v>116</v>
      </c>
      <c r="J24" s="892" t="s">
        <v>122</v>
      </c>
      <c r="AG24" s="1639">
        <v>1</v>
      </c>
    </row>
    <row customHeight="1" ht="11.549999999999999">
      <c r="E25" s="714"/>
      <c r="F25" s="2389" t="s">
        <v>105</v>
      </c>
      <c r="G25" s="2390"/>
      <c r="H25" s="1655" t="str">
        <f>IF(H24="","",INDEX(DIFFERENTIATION_UNMERGE_VD,MATCH(H24,DIFFERENTIATION_ID_DIFF,0)))</f>
        <v/>
      </c>
      <c r="I25" s="1655" t="str">
        <f>IF(I24="","",INDEX(DIFFERENTIATION_UNMERGE_VD,MATCH(I24,DIFFERENTIATION_ID_DIFF,0)))</f>
        <v>Холодное водоснабжение. Питьевая вода</v>
      </c>
      <c r="J25" s="2415" t="str">
        <f>IF(J24="","",INDEX(DIFFERENTIATION_UNMERGE_VD,MATCH(J24,DIFFERENTIATION_ID_DIFF,0)))</f>
        <v>Подключение (технологическое присоединение) к централизованной системе водоснабжения</v>
      </c>
      <c r="K25" s="2149"/>
      <c r="AG25" s="1634">
        <v>11</v>
      </c>
    </row>
    <row customHeight="1" ht="11.549999999999999">
      <c r="E26" s="714"/>
      <c r="F26" s="2389" t="s">
        <v>563</v>
      </c>
      <c r="G26" s="2390"/>
      <c r="H26" s="1655" t="str">
        <f>IF(H24="","",INDEX(DIFFERENTIATION_UNMERGE_AREA,MATCH(H24,DIFFERENTIATION_ID_DIFF,0)))</f>
        <v/>
      </c>
      <c r="I26" s="1655" t="str">
        <f>IF(I24="","",INDEX(DIFFERENTIATION_UNMERGE_AREA,MATCH(I24,DIFFERENTIATION_ID_DIFF,0)))</f>
        <v>без дифференциации</v>
      </c>
      <c r="J26" s="2415" t="str">
        <f>IF(J24="","",INDEX(DIFFERENTIATION_UNMERGE_AREA,MATCH(J24,DIFFERENTIATION_ID_DIFF,0)))</f>
        <v>без дифференциации</v>
      </c>
      <c r="K26" s="2149"/>
      <c r="AG26" s="1634">
        <v>11</v>
      </c>
    </row>
    <row customHeight="1" ht="11.549999999999999">
      <c r="E27" s="714"/>
      <c r="F27" s="2389" t="s">
        <v>564</v>
      </c>
      <c r="G27" s="2390"/>
      <c r="H27" s="1655" t="str">
        <f>IF(H24="","",INDEX(DIFFERENTIATION_UNMERGE_SYSTEM,MATCH(H24,DIFFERENTIATION_ID_DIFF,0)))</f>
        <v/>
      </c>
      <c r="I27" s="1655" t="str">
        <f>IF(I24="","",INDEX(DIFFERENTIATION_UNMERGE_SYSTEM,MATCH(I24,DIFFERENTIATION_ID_DIFF,0)))</f>
        <v>без дифференциации</v>
      </c>
      <c r="J27" s="2415" t="str">
        <f>IF(J24="","",INDEX(DIFFERENTIATION_UNMERGE_SYSTEM,MATCH(J24,DIFFERENTIATION_ID_DIFF,0)))</f>
        <v>без дифференциации</v>
      </c>
      <c r="K27" s="2149"/>
      <c r="AG27" s="1634">
        <v>11</v>
      </c>
    </row>
    <row customHeight="1" ht="11.549999999999999">
      <c r="E28" s="2391" t="s">
        <v>301</v>
      </c>
      <c r="F28" s="2392"/>
      <c r="G28" s="2392"/>
      <c r="H28" s="1648"/>
      <c r="I28" s="1648"/>
      <c r="J28" s="2389"/>
      <c r="K28" s="2149"/>
      <c r="AG28" s="1634">
        <v>11</v>
      </c>
    </row>
    <row customHeight="1" ht="24">
      <c r="E29" s="1649" t="s">
        <v>88</v>
      </c>
      <c r="F29" s="1656" t="s">
        <v>303</v>
      </c>
      <c r="G29" s="1656" t="s">
        <v>565</v>
      </c>
      <c r="H29" s="1656" t="s">
        <v>304</v>
      </c>
      <c r="I29" s="1656" t="s">
        <v>304</v>
      </c>
      <c r="J29" s="2388" t="s">
        <v>304</v>
      </c>
      <c r="K29" s="2149"/>
      <c r="AG29" s="1634">
        <v>23</v>
      </c>
    </row>
    <row customHeight="1" ht="20.25">
      <c r="D30" s="1641"/>
      <c r="E30" s="549">
        <f>FHD_NUM_P_1</f>
        <v>1</v>
      </c>
      <c r="F30" s="1880" t="str">
        <f>FHD_P_1</f>
        <v>Выручка от регулируемых видов деятельности в сфере холодного водоснабжения</v>
      </c>
      <c r="G30" s="1878" t="s">
        <v>551</v>
      </c>
      <c r="H30" s="560"/>
      <c r="I30" s="560">
        <v>131794.7</v>
      </c>
      <c r="J30" s="560">
        <v>7524.5</v>
      </c>
      <c r="K30" s="292" t="str">
        <f>FHD_NOTE_P_1</f>
        <v>Указывается выручка с распределением по видам деятельности.</v>
      </c>
      <c r="L30" s="546"/>
      <c r="AG30" s="1634">
        <v>19</v>
      </c>
    </row>
    <row customHeight="1" ht="21">
      <c r="D31" s="1641"/>
      <c r="E31" s="549">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61">
        <f>SUMIF($L32:$L74,$L31,H32:H74)</f>
        <v>0</v>
      </c>
      <c r="I31" s="561">
        <f>SUMIF($L32:$L74,$L31,I32:I74)</f>
        <v>144537.201</v>
      </c>
      <c r="J31" s="561">
        <f>SUMIF($L32:$L74,$L31,J32:J74)</f>
        <v>6132.204</v>
      </c>
      <c r="K31" s="292" t="str">
        <f>FHD_NOTE_P_2</f>
        <v>Указывается суммарная себестоимость производимых товаров.</v>
      </c>
      <c r="L31" s="1639" t="s">
        <v>566</v>
      </c>
      <c r="AG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78" t="s">
        <v>551</v>
      </c>
      <c r="H32" s="560"/>
      <c r="I32" s="560">
        <v>0</v>
      </c>
      <c r="J32" s="560">
        <v>0</v>
      </c>
      <c r="K32" s="292" t="str">
        <f>FHD_NOTE_P_3</f>
        <v/>
      </c>
      <c r="L32" s="1639" t="str">
        <f>IF((LEN(E32)-LEN(SUBSTITUTE(E32,".","")))/LEN(".")=1,"p","")</f>
        <v>p</v>
      </c>
      <c r="AG32" s="1634">
        <v>11</v>
      </c>
    </row>
    <row customHeight="1" ht="11.25" hidden="1">
      <c r="A33" s="2393" t="s">
        <v>567</v>
      </c>
      <c r="D33" s="1641"/>
      <c r="E33" s="549" t="str">
        <f>FHD_NUM_P_4</f>
        <v/>
      </c>
      <c r="F33" s="1527" t="str">
        <f>FHD_P_4</f>
        <v/>
      </c>
      <c r="G33" s="1878" t="s">
        <v>551</v>
      </c>
      <c r="H33" s="561">
        <f>SUMIF($F34:$F40,$F3,H34:H40)</f>
        <v>0</v>
      </c>
      <c r="I33" s="561">
        <f>SUMIF($F34:$F40,$F3,I34:I40)</f>
        <v>0</v>
      </c>
      <c r="J33" s="561">
        <f>SUMIF($F34:$F40,$F3,J34:J40)</f>
        <v>0</v>
      </c>
      <c r="K33" s="292" t="str">
        <f>FHD_NOTE_P_4</f>
        <v/>
      </c>
      <c r="L33" s="1639" t="str">
        <f>IF((LEN(E33)-LEN(SUBSTITUTE(E33,".","")))/LEN(".")=1,"p","")</f>
        <v/>
      </c>
      <c r="AG33" s="1634">
        <v>0</v>
      </c>
    </row>
    <row s="1644" customFormat="1" customHeight="1" ht="0.75" hidden="1">
      <c r="A34" s="2393"/>
      <c r="B34" s="2394" t="str">
        <f>E33&amp;".0"</f>
        <v>.0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hidden="1">
      <c r="A35" s="2393"/>
      <c r="B35" s="2394"/>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hidden="1">
      <c r="A36" s="2393"/>
      <c r="B36" s="2394"/>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hidden="1">
      <c r="A37" s="2393"/>
      <c r="B37" s="2394"/>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hidden="1">
      <c r="A38" s="2393"/>
      <c r="B38" s="2394"/>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hidden="1">
      <c r="A39" s="2393"/>
      <c r="B39" s="2394"/>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hidden="1">
      <c r="A40" s="2393"/>
      <c r="C40" s="1639"/>
      <c r="D40" s="1636"/>
      <c r="E40" s="573"/>
      <c r="F40" s="574" t="s">
        <v>568</v>
      </c>
      <c r="G40" s="575"/>
      <c r="H40" s="576"/>
      <c r="I40" s="576"/>
      <c r="J40" s="2669"/>
      <c r="K40" s="304"/>
      <c r="L40" s="1639" t="str">
        <f>IF((LEN(E40)-LEN(SUBSTITUTE(E40,".","")))/LEN(".")=1,"p","")</f>
        <v/>
      </c>
      <c r="M40" s="1639"/>
      <c r="N40" s="1639"/>
      <c r="S40" s="1639"/>
      <c r="V40" s="547"/>
      <c r="AB40" s="1635"/>
      <c r="AC40" s="1635"/>
      <c r="AD40" s="1635"/>
      <c r="AE40" s="1635"/>
      <c r="AF40" s="1635"/>
      <c r="AG40" s="1163">
        <v>0</v>
      </c>
    </row>
    <row customHeight="1" ht="11.25" hidden="1">
      <c r="A41" s="2393" t="s">
        <v>569</v>
      </c>
      <c r="D41" s="1641"/>
      <c r="E41" s="549" t="str">
        <f>FHD_NUM_P_5</f>
        <v/>
      </c>
      <c r="F41" s="1527" t="str">
        <f>FHD_P_5</f>
        <v/>
      </c>
      <c r="G41" s="1878" t="s">
        <v>551</v>
      </c>
      <c r="H41" s="560"/>
      <c r="I41" s="560"/>
      <c r="J41" s="560"/>
      <c r="K41" s="292" t="str">
        <f>FHD_NOTE_P_5</f>
        <v/>
      </c>
      <c r="L41" s="1639" t="str">
        <f>IF((LEN(E41)-LEN(SUBSTITUTE(E41,".","")))/LEN(".")=1,"p","")</f>
        <v/>
      </c>
      <c r="AG41" s="1634">
        <v>0</v>
      </c>
    </row>
    <row customHeight="1" ht="11.25" hidden="1">
      <c r="A42" s="2393"/>
      <c r="D42" s="1641"/>
      <c r="E42" s="549" t="str">
        <f>FHD_NUM_P_6</f>
        <v/>
      </c>
      <c r="F42" s="1527" t="str">
        <f>FHD_P_6</f>
        <v/>
      </c>
      <c r="G42" s="1878" t="s">
        <v>551</v>
      </c>
      <c r="H42" s="560"/>
      <c r="I42" s="560"/>
      <c r="J42" s="560"/>
      <c r="K42" s="292" t="str">
        <f>FHD_NOTE_P_6</f>
        <v/>
      </c>
      <c r="L42" s="1639" t="str">
        <f>IF((LEN(E42)-LEN(SUBSTITUTE(E42,".","")))/LEN(".")=1,"p","")</f>
        <v/>
      </c>
      <c r="AG42" s="1634">
        <v>0</v>
      </c>
    </row>
    <row customHeight="1" ht="11.25" hidden="1">
      <c r="A43" s="2393"/>
      <c r="D43" s="1641"/>
      <c r="E43" s="549" t="str">
        <f>FHD_NUM_P_7</f>
        <v/>
      </c>
      <c r="F43" s="1527" t="str">
        <f>FHD_P_7</f>
        <v/>
      </c>
      <c r="G43" s="1878" t="s">
        <v>551</v>
      </c>
      <c r="H43" s="560"/>
      <c r="I43" s="560"/>
      <c r="J43" s="560"/>
      <c r="K43" s="292" t="str">
        <f>FHD_NOTE_P_7</f>
        <v/>
      </c>
      <c r="L43" s="1639" t="str">
        <f>IF((LEN(E43)-LEN(SUBSTITUTE(E43,".","")))/LEN(".")=1,"p","")</f>
        <v/>
      </c>
      <c r="AG43" s="1634">
        <v>0</v>
      </c>
    </row>
    <row customHeight="1" ht="23.25">
      <c r="D44" s="1641"/>
      <c r="E44" s="549" t="str">
        <f>FHD_NUM_P_8</f>
        <v>2.2</v>
      </c>
      <c r="F44" s="1527" t="str">
        <f>FHD_P_8</f>
        <v>Расходы на приобретаемую электрическую энергию (мощность), используемую в технологическом процессе</v>
      </c>
      <c r="G44" s="1878" t="s">
        <v>551</v>
      </c>
      <c r="H44" s="560"/>
      <c r="I44" s="560">
        <v>16963.6</v>
      </c>
      <c r="J44" s="560">
        <v>0</v>
      </c>
      <c r="K44" s="292" t="str">
        <f>FHD_NOTE_P_8</f>
        <v/>
      </c>
      <c r="L44" s="1639" t="str">
        <f>IF((LEN(E44)-LEN(SUBSTITUTE(E44,".","")))/LEN(".")=1,"p","")</f>
        <v>p</v>
      </c>
      <c r="AG44" s="1634">
        <v>11</v>
      </c>
    </row>
    <row customHeight="1" ht="11.549999999999999">
      <c r="D45" s="1641"/>
      <c r="E45" s="549" t="str">
        <f>FHD_NUM_P_9</f>
        <v>2.2.1</v>
      </c>
      <c r="F45" s="1653" t="str">
        <f>FHD_P_9</f>
        <v>Средневзвешенная стоимость 1 кВт.ч (с учетом мощности)</v>
      </c>
      <c r="G45" s="1878" t="s">
        <v>570</v>
      </c>
      <c r="H45" s="560"/>
      <c r="I45" s="560">
        <v>7.44</v>
      </c>
      <c r="J45" s="560">
        <v>0</v>
      </c>
      <c r="K45" s="292" t="str">
        <f>FHD_NOTE_P_9</f>
        <v/>
      </c>
      <c r="L45" s="1639" t="str">
        <f>IF((LEN(E45)-LEN(SUBSTITUTE(E45,".","")))/LEN(".")=1,"p","")</f>
        <v/>
      </c>
      <c r="AG45" s="1634">
        <v>11</v>
      </c>
    </row>
    <row s="1369" customFormat="1" customHeight="1" ht="11.549999999999999">
      <c r="A46" s="990"/>
      <c r="C46" s="1639"/>
      <c r="D46" s="577"/>
      <c r="E46" s="549" t="str">
        <f>FHD_NUM_P_10</f>
        <v>2.2.2</v>
      </c>
      <c r="F46" s="1653" t="str">
        <f>FHD_P_10</f>
        <v>Объём приобретения электрической энергии</v>
      </c>
      <c r="G46" s="1878" t="s">
        <v>571</v>
      </c>
      <c r="H46" s="560"/>
      <c r="I46" s="560">
        <v>2280.037</v>
      </c>
      <c r="J46" s="560">
        <v>0</v>
      </c>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hidden="1">
      <c r="A47" s="992" t="s">
        <v>572</v>
      </c>
      <c r="C47" s="1639"/>
      <c r="D47" s="578"/>
      <c r="E47" s="549" t="str">
        <f>FHD_NUM_P_11</f>
        <v/>
      </c>
      <c r="F47" s="1527" t="str">
        <f>FHD_P_11</f>
        <v/>
      </c>
      <c r="G47" s="1878" t="s">
        <v>551</v>
      </c>
      <c r="H47" s="560"/>
      <c r="I47" s="560"/>
      <c r="J47" s="560"/>
      <c r="K47" s="292" t="str">
        <f>FHD_NOTE_P_11</f>
        <v/>
      </c>
      <c r="L47" s="1639" t="str">
        <f>IF((LEN(E47)-LEN(SUBSTITUTE(E47,".","")))/LEN(".")=1,"p","")</f>
        <v/>
      </c>
      <c r="M47" s="1639"/>
      <c r="N47" s="1639"/>
      <c r="S47" s="1639"/>
      <c r="V47" s="547"/>
      <c r="AB47" s="1635"/>
      <c r="AC47" s="1635"/>
      <c r="AD47" s="1635"/>
      <c r="AE47" s="1635"/>
      <c r="AF47" s="1635"/>
      <c r="AG47" s="1163">
        <v>0</v>
      </c>
    </row>
    <row s="1369" customFormat="1" customHeight="1" ht="18.75">
      <c r="A48" s="992" t="s">
        <v>573</v>
      </c>
      <c r="C48" s="1639"/>
      <c r="D48" s="1641"/>
      <c r="E48" s="549" t="str">
        <f>FHD_NUM_P_12</f>
        <v>2.3</v>
      </c>
      <c r="F48" s="1527" t="str">
        <f>FHD_P_12</f>
        <v>Расходы на химические реагенты, используемые в технологическом процессе</v>
      </c>
      <c r="G48" s="1878" t="s">
        <v>551</v>
      </c>
      <c r="H48" s="580"/>
      <c r="I48" s="580">
        <v>0</v>
      </c>
      <c r="J48" s="580">
        <v>0</v>
      </c>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31.5">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60"/>
      <c r="I49" s="560">
        <f>(53442.6+277.6+542.2)*1.302</f>
        <v>70649.6448</v>
      </c>
      <c r="J49" s="560">
        <f>2301.1*1.302+31*1.302</f>
        <v>3036.3942</v>
      </c>
      <c r="K49" s="292" t="str">
        <f>FHD_NOTE_P_13</f>
        <v>Указывается общая сумма расходов на оплату труда и отчислений на социальные нужды основного производственного персонала.</v>
      </c>
      <c r="L49" s="1639" t="str">
        <f>IF((LEN(E49)-LEN(SUBSTITUTE(E49,".","")))/LEN(".")=1,"p","")</f>
        <v>p</v>
      </c>
      <c r="M49" s="733"/>
      <c r="N49" s="733"/>
      <c r="S49" s="733"/>
      <c r="V49" s="734"/>
      <c r="AB49" s="735"/>
      <c r="AC49" s="735"/>
      <c r="AD49" s="735"/>
      <c r="AE49" s="735"/>
      <c r="AF49" s="735"/>
      <c r="AG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78" t="s">
        <v>551</v>
      </c>
      <c r="H50" s="560"/>
      <c r="I50" s="560">
        <f>542.2+277.6+53442.6</f>
        <v>54262.4</v>
      </c>
      <c r="J50" s="560">
        <f>2301.1+31</f>
        <v>2332.1</v>
      </c>
      <c r="K50" s="292" t="str">
        <f>FHD_NOTE_P_14</f>
        <v/>
      </c>
      <c r="L50" s="1639" t="str">
        <f>IF((LEN(E50)-LEN(SUBSTITUTE(E50,".","")))/LEN(".")=1,"p","")</f>
        <v/>
      </c>
      <c r="M50" s="733"/>
      <c r="N50" s="733"/>
      <c r="S50" s="733"/>
      <c r="V50" s="734"/>
      <c r="AB50" s="735"/>
      <c r="AC50" s="735"/>
      <c r="AD50" s="735"/>
      <c r="AE50" s="735"/>
      <c r="AF50" s="735"/>
      <c r="AG50" s="732">
        <v>11</v>
      </c>
    </row>
    <row s="1368" customFormat="1" customHeight="1" ht="18">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60"/>
      <c r="I51" s="560">
        <f>I50*0.302</f>
        <v>16387.2448</v>
      </c>
      <c r="J51" s="560">
        <f>J50*0.302</f>
        <v>704.2942</v>
      </c>
      <c r="K51" s="292" t="str">
        <f>FHD_NOTE_P_15</f>
        <v/>
      </c>
      <c r="L51" s="1639" t="str">
        <f>IF((LEN(E51)-LEN(SUBSTITUTE(E51,".","")))/LEN(".")=1,"p","")</f>
        <v/>
      </c>
      <c r="M51" s="733"/>
      <c r="N51" s="733"/>
      <c r="S51" s="733"/>
      <c r="V51" s="734"/>
      <c r="AB51" s="735"/>
      <c r="AC51" s="735"/>
      <c r="AD51" s="735"/>
      <c r="AE51" s="735"/>
      <c r="AF51" s="735"/>
      <c r="AG51" s="732">
        <v>11</v>
      </c>
    </row>
    <row s="1369" customFormat="1" customHeight="1" ht="36.75">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60"/>
      <c r="I52" s="560">
        <f>(13748.7+65.4)*1.302</f>
        <v>17985.9582</v>
      </c>
      <c r="J52" s="560">
        <f>784.9*1.302</f>
        <v>1021.9398</v>
      </c>
      <c r="K52" s="292" t="str">
        <f>FHD_NOTE_P_16</f>
        <v>Указывается общая сумма расходов на оплату труда и отчислений на социальные нужды административно-управленческого персонала.</v>
      </c>
      <c r="L52" s="1639" t="str">
        <f>IF((LEN(E52)-LEN(SUBSTITUTE(E52,".","")))/LEN(".")=1,"p","")</f>
        <v>p</v>
      </c>
      <c r="M52" s="1639"/>
      <c r="N52" s="1645"/>
      <c r="O52" s="540"/>
      <c r="P52" s="540"/>
      <c r="S52" s="1639"/>
      <c r="V52" s="547"/>
      <c r="AB52" s="1635"/>
      <c r="AC52" s="1635"/>
      <c r="AD52" s="1635"/>
      <c r="AE52" s="1635"/>
      <c r="AF52" s="1635"/>
      <c r="AG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78" t="s">
        <v>551</v>
      </c>
      <c r="H53" s="560"/>
      <c r="I53" s="560">
        <f>13748.7+65.4</f>
        <v>13814.1</v>
      </c>
      <c r="J53" s="560">
        <v>784.9</v>
      </c>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21">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60"/>
      <c r="I54" s="560">
        <f>I53*0.302</f>
        <v>4171.8582</v>
      </c>
      <c r="J54" s="560">
        <f>J53*0.302</f>
        <v>237.0398</v>
      </c>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78" t="s">
        <v>551</v>
      </c>
      <c r="H55" s="560"/>
      <c r="I55" s="560">
        <f>7808.3+388</f>
        <v>8196.3</v>
      </c>
      <c r="J55" s="560">
        <v>0</v>
      </c>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549999999999999">
      <c r="A56" s="990"/>
      <c r="C56" s="1639"/>
      <c r="D56" s="578"/>
      <c r="E56" s="549" t="str">
        <f>FHD_NUM_P_20</f>
        <v>2.6.1</v>
      </c>
      <c r="F56" s="1653" t="str">
        <f>FHD_P_20</f>
        <v>Расходы на амортизацию основных средств</v>
      </c>
      <c r="G56" s="1878" t="s">
        <v>551</v>
      </c>
      <c r="H56" s="560"/>
      <c r="I56" s="560">
        <v>8196.3</v>
      </c>
      <c r="J56" s="560">
        <v>0</v>
      </c>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78" t="s">
        <v>551</v>
      </c>
      <c r="H57" s="560"/>
      <c r="I57" s="560">
        <v>0</v>
      </c>
      <c r="J57" s="560">
        <v>0</v>
      </c>
      <c r="K57" s="292" t="str">
        <f>FHD_NOTE_P_21</f>
        <v/>
      </c>
      <c r="L57" s="1639" t="str">
        <f>IF((LEN(E57)-LEN(SUBSTITUTE(E57,".","")))/LEN(".")=1,"p","")</f>
        <v/>
      </c>
      <c r="M57" s="1639"/>
      <c r="N57" s="1639"/>
      <c r="S57" s="1639"/>
      <c r="V57" s="547"/>
      <c r="AB57" s="1635"/>
      <c r="AC57" s="1635"/>
      <c r="AD57" s="1635"/>
      <c r="AE57" s="1635"/>
      <c r="AF57" s="1635"/>
      <c r="AG57" s="1163">
        <v>11</v>
      </c>
    </row>
    <row s="1369" customFormat="1" customHeight="1" ht="22.5">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60"/>
      <c r="I58" s="560">
        <v>860.6</v>
      </c>
      <c r="J58" s="560">
        <v>22.2</v>
      </c>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549999999999999">
      <c r="A59" s="990"/>
      <c r="C59" s="1639"/>
      <c r="D59" s="578"/>
      <c r="E59" s="549" t="str">
        <f>FHD_NUM_P_23</f>
        <v>2.8</v>
      </c>
      <c r="F59" s="1527" t="str">
        <f>FHD_P_23</f>
        <v>Общепроизводственные расходы, в том числе:</v>
      </c>
      <c r="G59" s="1878" t="s">
        <v>551</v>
      </c>
      <c r="H59" s="560"/>
      <c r="I59" s="560">
        <v>7437.18</v>
      </c>
      <c r="J59" s="560">
        <v>1880.57</v>
      </c>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549999999999999">
      <c r="A60" s="990"/>
      <c r="C60" s="1639"/>
      <c r="D60" s="578"/>
      <c r="E60" s="549" t="str">
        <f>FHD_NUM_P_24</f>
        <v>2.8.1</v>
      </c>
      <c r="F60" s="1653" t="str">
        <f>FHD_P_24</f>
        <v>Расходы на текущий ремонт</v>
      </c>
      <c r="G60" s="1878" t="s">
        <v>551</v>
      </c>
      <c r="H60" s="560"/>
      <c r="I60" s="560">
        <v>0</v>
      </c>
      <c r="J60" s="560">
        <v>0</v>
      </c>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549999999999999">
      <c r="A61" s="990"/>
      <c r="C61" s="1639"/>
      <c r="D61" s="578"/>
      <c r="E61" s="549" t="str">
        <f>FHD_NUM_P_25</f>
        <v>2.8.2</v>
      </c>
      <c r="F61" s="1653" t="str">
        <f>FHD_P_25</f>
        <v>Расходы на капитальный ремонт</v>
      </c>
      <c r="G61" s="1878" t="s">
        <v>551</v>
      </c>
      <c r="H61" s="560"/>
      <c r="I61" s="560">
        <v>19.8</v>
      </c>
      <c r="J61" s="560">
        <v>0</v>
      </c>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549999999999999">
      <c r="A62" s="990"/>
      <c r="C62" s="1639"/>
      <c r="D62" s="1641"/>
      <c r="E62" s="549" t="str">
        <f>FHD_NUM_P_26</f>
        <v>2.9</v>
      </c>
      <c r="F62" s="1527" t="str">
        <f>FHD_P_26</f>
        <v>Общехозяйственные расходы, в том числе:</v>
      </c>
      <c r="G62" s="1878" t="s">
        <v>551</v>
      </c>
      <c r="H62" s="560"/>
      <c r="I62" s="560">
        <f>21992.7-((13748.7+542.3)*1.302)-388</f>
        <v>2997.818</v>
      </c>
      <c r="J62" s="560">
        <v>171.1</v>
      </c>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549999999999999">
      <c r="A63" s="990"/>
      <c r="C63" s="1639"/>
      <c r="D63" s="1641"/>
      <c r="E63" s="549" t="str">
        <f>FHD_NUM_P_27</f>
        <v>2.9.1</v>
      </c>
      <c r="F63" s="1653" t="str">
        <f>FHD_P_27</f>
        <v>Расходы на текущий ремонт</v>
      </c>
      <c r="G63" s="1878" t="s">
        <v>551</v>
      </c>
      <c r="H63" s="560"/>
      <c r="I63" s="560">
        <v>13</v>
      </c>
      <c r="J63" s="560">
        <v>0</v>
      </c>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549999999999999">
      <c r="A64" s="990"/>
      <c r="C64" s="1639"/>
      <c r="D64" s="1641"/>
      <c r="E64" s="549" t="str">
        <f>FHD_NUM_P_28</f>
        <v>2.9.2</v>
      </c>
      <c r="F64" s="1653" t="str">
        <f>FHD_P_28</f>
        <v>Расходы на капитальный ремонт</v>
      </c>
      <c r="G64" s="1878" t="s">
        <v>551</v>
      </c>
      <c r="H64" s="560"/>
      <c r="I64" s="560">
        <v>0</v>
      </c>
      <c r="J64" s="560">
        <v>0</v>
      </c>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20.25">
      <c r="A65" s="990"/>
      <c r="C65" s="1639"/>
      <c r="D65" s="1641"/>
      <c r="E65" s="549" t="str">
        <f>FHD_NUM_P_29</f>
        <v>2.10</v>
      </c>
      <c r="F65" s="1527" t="str">
        <f>FHD_P_29</f>
        <v>Расходы на капитальный и текущий ремонт основных средств</v>
      </c>
      <c r="G65" s="1878" t="s">
        <v>551</v>
      </c>
      <c r="H65" s="560"/>
      <c r="I65" s="560">
        <f>1626.5+993.8+1654.4-19.8</f>
        <v>4254.9</v>
      </c>
      <c r="J65" s="560">
        <v>0</v>
      </c>
      <c r="K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40.5">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307</v>
      </c>
      <c r="H66" s="1652" t="s">
        <v>574</v>
      </c>
      <c r="I66" s="1652" t="s">
        <v>574</v>
      </c>
      <c r="J66" s="2507" t="s">
        <v>574</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c r="A67" s="2393" t="s">
        <v>575</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60"/>
      <c r="I67" s="560">
        <v>0</v>
      </c>
      <c r="J67" s="560">
        <v>0</v>
      </c>
      <c r="K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9" t="str">
        <f>IF((LEN(E67)-LEN(SUBSTITUTE(E67,".","")))/LEN(".")=1,"p","")</f>
        <v>p</v>
      </c>
      <c r="M67" s="1639"/>
      <c r="N67" s="1639"/>
      <c r="S67" s="1639"/>
      <c r="V67" s="547"/>
      <c r="AB67" s="1635"/>
      <c r="AC67" s="1635"/>
      <c r="AD67" s="1635"/>
      <c r="AE67" s="1635"/>
      <c r="AF67" s="1635"/>
      <c r="AG67" s="1163">
        <v>22</v>
      </c>
    </row>
    <row s="1369" customFormat="1" customHeight="1" ht="47.25">
      <c r="A68" s="2393"/>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307</v>
      </c>
      <c r="H68" s="1652" t="s">
        <v>574</v>
      </c>
      <c r="I68" s="1652" t="s">
        <v>574</v>
      </c>
      <c r="J68" s="2507" t="s">
        <v>574</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89.25">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82">
        <f>SUM(H70:H74)</f>
        <v>0</v>
      </c>
      <c r="I69" s="582">
        <f>SUM(I70:I74)</f>
        <v>15191.2</v>
      </c>
      <c r="J69" s="582">
        <f>SUM(J70:J74)</f>
        <v>0</v>
      </c>
      <c r="K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9" t="str">
        <f>IF((LEN(E69)-LEN(SUBSTITUTE(E69,".","")))/LEN(".")=1,"p","")</f>
        <v>p</v>
      </c>
      <c r="M69" s="1639"/>
      <c r="N69" s="1639"/>
      <c r="S69" s="1639"/>
      <c r="V69" s="547"/>
      <c r="AB69" s="1635"/>
      <c r="AC69" s="1635"/>
      <c r="AD69" s="1635"/>
      <c r="AE69" s="1635"/>
      <c r="AF69" s="1635"/>
      <c r="AG69" s="1163">
        <v>11</v>
      </c>
    </row>
    <row s="1645" customFormat="1" customHeight="1" ht="1.05">
      <c r="A70" s="1170"/>
      <c r="D70" s="551"/>
      <c r="E70" s="1016" t="str">
        <f>E69&amp;".0"</f>
        <v>2.12.0</v>
      </c>
      <c r="F70" s="994"/>
      <c r="G70" s="1016"/>
      <c r="H70" s="995"/>
      <c r="I70" s="995"/>
      <c r="J70" s="995"/>
      <c r="K70" s="996"/>
      <c r="L70" s="1639" t="str">
        <f>IF((LEN(E70)-LEN(SUBSTITUTE(E70,".","")))/LEN(".")=1,"p","")</f>
        <v/>
      </c>
      <c r="AG70" s="1639">
        <v>1</v>
      </c>
    </row>
    <row s="1635" customFormat="1" customHeight="1" ht="22.5">
      <c r="A71" s="990"/>
      <c r="B71" s="1369"/>
      <c r="C71" s="1645"/>
      <c r="D71" s="686" t="s">
        <v>121</v>
      </c>
      <c r="E71" s="2388" t="str">
        <f>E69&amp;".1"</f>
        <v>2.12.1</v>
      </c>
      <c r="F71" s="543" t="s">
        <v>576</v>
      </c>
      <c r="G71" s="2388" t="s">
        <v>551</v>
      </c>
      <c r="H71" s="754"/>
      <c r="I71" s="754">
        <v>9846.1</v>
      </c>
      <c r="J71" s="754">
        <v>0</v>
      </c>
      <c r="K71" s="545" t="s">
        <v>554</v>
      </c>
      <c r="L71" s="737"/>
      <c r="M71" s="1645"/>
      <c r="N71" s="1645"/>
      <c r="O71" s="1369"/>
      <c r="P71" s="1369"/>
      <c r="Q71" s="1369"/>
      <c r="R71" s="1369"/>
      <c r="S71" s="1645"/>
      <c r="T71" s="1369"/>
      <c r="U71" s="1369"/>
      <c r="V71" s="739"/>
      <c r="W71" s="1369"/>
      <c r="X71" s="1369"/>
      <c r="Y71" s="1369"/>
      <c r="Z71" s="1369"/>
      <c r="AA71" s="1369"/>
      <c r="AB71" s="1635"/>
      <c r="AC71" s="1635"/>
      <c r="AD71" s="1635"/>
      <c r="AE71" s="1635"/>
      <c r="AF71" s="1635"/>
      <c r="AG71" s="1369">
        <v>0</v>
      </c>
    </row>
    <row s="1635" customFormat="1" customHeight="1" ht="22.5">
      <c r="A72" s="990"/>
      <c r="B72" s="1369"/>
      <c r="C72" s="1645"/>
      <c r="D72" s="686" t="s">
        <v>121</v>
      </c>
      <c r="E72" s="2388" t="str">
        <f>E69&amp;".2"</f>
        <v>2.12.2</v>
      </c>
      <c r="F72" s="543" t="s">
        <v>577</v>
      </c>
      <c r="G72" s="2388" t="s">
        <v>551</v>
      </c>
      <c r="H72" s="754"/>
      <c r="I72" s="754">
        <v>1646.8</v>
      </c>
      <c r="J72" s="754"/>
      <c r="K72" s="545" t="s">
        <v>554</v>
      </c>
      <c r="L72" s="737"/>
      <c r="M72" s="1645"/>
      <c r="N72" s="1645"/>
      <c r="O72" s="1369"/>
      <c r="P72" s="1369"/>
      <c r="Q72" s="1369"/>
      <c r="R72" s="1369"/>
      <c r="S72" s="1645"/>
      <c r="T72" s="1369"/>
      <c r="U72" s="1369"/>
      <c r="V72" s="739"/>
      <c r="W72" s="1369"/>
      <c r="X72" s="1369"/>
      <c r="Y72" s="1369"/>
      <c r="Z72" s="1369"/>
      <c r="AA72" s="1369"/>
      <c r="AB72" s="1635"/>
      <c r="AC72" s="1635"/>
      <c r="AD72" s="1635"/>
      <c r="AE72" s="1635"/>
      <c r="AF72" s="1635"/>
      <c r="AG72" s="1369">
        <v>0</v>
      </c>
    </row>
    <row s="1635" customFormat="1" customHeight="1" ht="22.5">
      <c r="A73" s="990"/>
      <c r="B73" s="1369"/>
      <c r="C73" s="1645"/>
      <c r="D73" s="686" t="s">
        <v>121</v>
      </c>
      <c r="E73" s="2388" t="str">
        <f>E69&amp;".3"</f>
        <v>2.12.3</v>
      </c>
      <c r="F73" s="543" t="s">
        <v>578</v>
      </c>
      <c r="G73" s="2388" t="s">
        <v>551</v>
      </c>
      <c r="H73" s="754"/>
      <c r="I73" s="754">
        <v>3698.3</v>
      </c>
      <c r="J73" s="754"/>
      <c r="K73" s="545" t="s">
        <v>554</v>
      </c>
      <c r="L73" s="737"/>
      <c r="M73" s="1645"/>
      <c r="N73" s="1645"/>
      <c r="O73" s="1369"/>
      <c r="P73" s="1369"/>
      <c r="Q73" s="1369"/>
      <c r="R73" s="1369"/>
      <c r="S73" s="1645"/>
      <c r="T73" s="1369"/>
      <c r="U73" s="1369"/>
      <c r="V73" s="739"/>
      <c r="W73" s="1369"/>
      <c r="X73" s="1369"/>
      <c r="Y73" s="1369"/>
      <c r="Z73" s="1369"/>
      <c r="AA73" s="1369"/>
      <c r="AB73" s="1635"/>
      <c r="AC73" s="1635"/>
      <c r="AD73" s="1635"/>
      <c r="AE73" s="1635"/>
      <c r="AF73" s="1635"/>
      <c r="AG73" s="1369">
        <v>0</v>
      </c>
    </row>
    <row s="1369" customFormat="1" customHeight="1" ht="14.699999999999998">
      <c r="A74" s="990"/>
      <c r="C74" s="1639"/>
      <c r="D74" s="1636"/>
      <c r="E74" s="573"/>
      <c r="F74" s="574" t="s">
        <v>579</v>
      </c>
      <c r="G74" s="575"/>
      <c r="H74" s="576"/>
      <c r="I74" s="576"/>
      <c r="J74" s="2669"/>
      <c r="K74" s="304"/>
      <c r="L74" s="1639"/>
      <c r="M74" s="1639"/>
      <c r="N74" s="1639"/>
      <c r="S74" s="1639"/>
      <c r="V74" s="547"/>
      <c r="AB74" s="1635"/>
      <c r="AC74" s="1635"/>
      <c r="AD74" s="1635"/>
      <c r="AE74" s="1635"/>
      <c r="AF74" s="1635"/>
      <c r="AG74" s="1163">
        <v>14</v>
      </c>
    </row>
    <row s="1369" customFormat="1" customHeight="1" ht="18.75" hidden="1">
      <c r="A75" s="992" t="s">
        <v>580</v>
      </c>
      <c r="C75" s="1639"/>
      <c r="D75" s="1641"/>
      <c r="E75" s="549" t="str">
        <f>FHD_NUM_P_34</f>
        <v/>
      </c>
      <c r="F75" s="1880" t="str">
        <f>FHD_P_34</f>
        <v/>
      </c>
      <c r="G75" s="1878" t="s">
        <v>551</v>
      </c>
      <c r="H75" s="560"/>
      <c r="I75" s="560"/>
      <c r="J75" s="560"/>
      <c r="K75" s="292" t="str">
        <f>FHD_NOTE_P_34</f>
        <v/>
      </c>
      <c r="L75" s="546"/>
      <c r="M75" s="1639"/>
      <c r="N75" s="1639"/>
      <c r="S75" s="1639"/>
      <c r="V75" s="547"/>
      <c r="AB75" s="1635"/>
      <c r="AC75" s="1635"/>
      <c r="AD75" s="1635"/>
      <c r="AE75" s="1635"/>
      <c r="AF75" s="1635"/>
      <c r="AG75" s="1163">
        <v>0</v>
      </c>
    </row>
    <row s="1369" customFormat="1" customHeight="1" ht="20.25">
      <c r="A76" s="990"/>
      <c r="C76" s="1639"/>
      <c r="D76" s="578"/>
      <c r="E76" s="549" t="str">
        <f>FHD_NUM_P_35</f>
        <v>3</v>
      </c>
      <c r="F76" s="1880" t="str">
        <f>FHD_P_35</f>
        <v>Чистая прибыль, полученная от регулируемого вида деятельности в сфере холодного водоснабжения, в том числе:</v>
      </c>
      <c r="G76" s="1878" t="s">
        <v>551</v>
      </c>
      <c r="H76" s="560"/>
      <c r="I76" s="560">
        <v>-12742.5</v>
      </c>
      <c r="J76" s="560">
        <f>1392.3-(1392.3*0.25)</f>
        <v>1044.225</v>
      </c>
      <c r="K76" s="292" t="str">
        <f>FHD_NOTE_P_35</f>
        <v>Указывается общая сумма чистой прибыли, полученной от регулируемого вида деятельности.</v>
      </c>
      <c r="L76" s="546"/>
      <c r="M76" s="1639"/>
      <c r="N76" s="1639"/>
      <c r="S76" s="1639"/>
      <c r="V76" s="547"/>
      <c r="AB76" s="1635"/>
      <c r="AC76" s="1635"/>
      <c r="AD76" s="1635"/>
      <c r="AE76" s="1635"/>
      <c r="AF76" s="1635"/>
      <c r="AG76" s="1163">
        <v>19</v>
      </c>
    </row>
    <row s="1369" customFormat="1" customHeight="1" ht="20.25">
      <c r="A77" s="990"/>
      <c r="C77" s="1639"/>
      <c r="D77" s="1641"/>
      <c r="E77" s="549" t="str">
        <f>FHD_NUM_P_36</f>
        <v>3.1</v>
      </c>
      <c r="F77"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78" t="s">
        <v>551</v>
      </c>
      <c r="H77" s="560"/>
      <c r="I77" s="560">
        <v>3174.5</v>
      </c>
      <c r="J77" s="560">
        <v>0</v>
      </c>
      <c r="K77" s="292" t="str">
        <f>FHD_NOTE_P_36</f>
        <v/>
      </c>
      <c r="L77" s="546"/>
      <c r="M77" s="1639"/>
      <c r="N77" s="1639"/>
      <c r="S77" s="1639"/>
      <c r="V77" s="547"/>
      <c r="AB77" s="1635"/>
      <c r="AC77" s="1635"/>
      <c r="AD77" s="1635"/>
      <c r="AE77" s="1635"/>
      <c r="AF77" s="1635"/>
      <c r="AG77" s="1163">
        <v>19</v>
      </c>
    </row>
    <row s="1369" customFormat="1" customHeight="1" ht="20.25">
      <c r="A78" s="990"/>
      <c r="C78" s="1639"/>
      <c r="D78" s="1641"/>
      <c r="E78" s="549" t="str">
        <f>FHD_NUM_P_37</f>
        <v>4</v>
      </c>
      <c r="F78" s="1880" t="str">
        <f>FHD_P_37</f>
        <v>Изменение стоимости основных фондов, в том числе:</v>
      </c>
      <c r="G78" s="1878" t="s">
        <v>551</v>
      </c>
      <c r="H78" s="560"/>
      <c r="I78" s="560">
        <v>18356.7</v>
      </c>
      <c r="J78" s="560">
        <v>0</v>
      </c>
      <c r="K78" s="292" t="str">
        <f>FHD_NOTE_P_37</f>
        <v>Указывается общее изменение стоимости основных фондов.</v>
      </c>
      <c r="L78" s="546"/>
      <c r="M78" s="1639"/>
      <c r="N78" s="1639"/>
      <c r="S78" s="1639"/>
      <c r="V78" s="547"/>
      <c r="AB78" s="1635"/>
      <c r="AC78" s="1635"/>
      <c r="AD78" s="1635"/>
      <c r="AE78" s="1635"/>
      <c r="AF78" s="1635"/>
      <c r="AG78" s="1163">
        <v>19</v>
      </c>
    </row>
    <row s="1369" customFormat="1" customHeight="1" ht="20.25">
      <c r="A79" s="990"/>
      <c r="C79" s="1639"/>
      <c r="D79" s="1641"/>
      <c r="E79" s="549" t="str">
        <f>FHD_NUM_P_38</f>
        <v>4.1</v>
      </c>
      <c r="F79" s="1527" t="str">
        <f>FHD_P_38</f>
        <v>Изменение стоимости основных фондов за счет их ввода в эксплуатацию (вывода из эксплуатации)</v>
      </c>
      <c r="G79" s="1878" t="s">
        <v>551</v>
      </c>
      <c r="H79" s="560"/>
      <c r="I79" s="560">
        <v>18356.7</v>
      </c>
      <c r="J79" s="560">
        <v>0</v>
      </c>
      <c r="K79" s="292" t="str">
        <f>FHD_NOTE_P_38</f>
        <v>Указываются общее изменение стоимости основных фондов за счет их ввода в эксплуатацию и вывода из эксплуатации.</v>
      </c>
      <c r="L79" s="546"/>
      <c r="M79" s="1639"/>
      <c r="N79" s="1639"/>
      <c r="S79" s="1639"/>
      <c r="V79" s="547"/>
      <c r="AB79" s="1635"/>
      <c r="AC79" s="1635"/>
      <c r="AD79" s="1635"/>
      <c r="AE79" s="1635"/>
      <c r="AF79" s="1635"/>
      <c r="AG79" s="1163">
        <v>19</v>
      </c>
    </row>
    <row s="1369" customFormat="1" customHeight="1" ht="19.95">
      <c r="A80" s="990"/>
      <c r="C80" s="1639"/>
      <c r="D80" s="1641"/>
      <c r="E80" s="549" t="str">
        <f>FHD_NUM_P_39</f>
        <v>4.1.1</v>
      </c>
      <c r="F80" s="1653" t="str">
        <f>FHD_P_39</f>
        <v>Изменение стоимости основных фондов за счет их ввода в эксплуатацию</v>
      </c>
      <c r="G80" s="2072" t="s">
        <v>551</v>
      </c>
      <c r="H80" s="560"/>
      <c r="I80" s="560">
        <v>0</v>
      </c>
      <c r="J80" s="560">
        <v>0</v>
      </c>
      <c r="K80" s="292" t="str">
        <f>FHD_NOTE_P_39</f>
        <v>Указываются изменение стоимости основных фондов за счет их ввода в эксплуатацию.</v>
      </c>
      <c r="L80" s="546"/>
      <c r="M80" s="1639"/>
      <c r="N80" s="1639"/>
      <c r="S80" s="1639"/>
      <c r="V80" s="547"/>
      <c r="AB80" s="1635"/>
      <c r="AC80" s="1635"/>
      <c r="AD80" s="1635"/>
      <c r="AE80" s="1635"/>
      <c r="AF80" s="1635"/>
      <c r="AG80" s="1163">
        <v>19</v>
      </c>
    </row>
    <row s="1369" customFormat="1" customHeight="1" ht="19.95">
      <c r="A81" s="990"/>
      <c r="C81" s="1639"/>
      <c r="D81" s="1641"/>
      <c r="E81" s="549" t="str">
        <f>FHD_NUM_P_40</f>
        <v>4.1.2</v>
      </c>
      <c r="F81" s="2076" t="str">
        <f>FHD_P_40</f>
        <v>Изменение стоимости основных фондов за счет их вывода в эксплуатацию</v>
      </c>
      <c r="G81" s="2071" t="s">
        <v>551</v>
      </c>
      <c r="H81" s="979"/>
      <c r="I81" s="560">
        <v>0</v>
      </c>
      <c r="J81" s="979">
        <v>0</v>
      </c>
      <c r="K81" s="292" t="str">
        <f>FHD_NOTE_P_40</f>
        <v>Указываются изменение стоимости основных фондов за счет их вывода из эксплуатации.</v>
      </c>
      <c r="L81" s="546"/>
      <c r="M81" s="1639"/>
      <c r="N81" s="1639"/>
      <c r="S81" s="1639"/>
      <c r="V81" s="547"/>
      <c r="AB81" s="1635"/>
      <c r="AC81" s="1635"/>
      <c r="AD81" s="1635"/>
      <c r="AE81" s="1635"/>
      <c r="AF81" s="1635"/>
      <c r="AG81" s="1163">
        <v>19</v>
      </c>
    </row>
    <row s="1369" customFormat="1" customHeight="1" ht="19.95">
      <c r="A82" s="990"/>
      <c r="C82" s="1639"/>
      <c r="D82" s="1641"/>
      <c r="E82" s="549" t="str">
        <f>FHD_NUM_P_41</f>
        <v>4.2</v>
      </c>
      <c r="F82" s="2075" t="str">
        <f>FHD_P_41</f>
        <v>Изменение стоимости основных фондов за счет их переоценки</v>
      </c>
      <c r="G82" s="2071" t="s">
        <v>551</v>
      </c>
      <c r="H82" s="979"/>
      <c r="I82" s="560">
        <v>0</v>
      </c>
      <c r="J82" s="979">
        <v>0</v>
      </c>
      <c r="K82" s="292" t="str">
        <f>FHD_NOTE_P_41</f>
        <v/>
      </c>
      <c r="L82" s="546"/>
      <c r="M82" s="1639"/>
      <c r="N82" s="1639"/>
      <c r="S82" s="1639"/>
      <c r="V82" s="547"/>
      <c r="AB82" s="1635"/>
      <c r="AC82" s="1635"/>
      <c r="AD82" s="1635"/>
      <c r="AE82" s="1635"/>
      <c r="AF82" s="1635"/>
      <c r="AG82" s="1163">
        <v>19</v>
      </c>
    </row>
    <row s="1369" customFormat="1" customHeight="1" ht="20.25">
      <c r="A83" s="992" t="s">
        <v>581</v>
      </c>
      <c r="C83" s="1639"/>
      <c r="D83" s="1641"/>
      <c r="E83" s="549" t="str">
        <f>FHD_NUM_P_42</f>
        <v>5</v>
      </c>
      <c r="F83" s="2073" t="str">
        <f>FHD_P_42</f>
        <v>Валовая прибыль (убытки) от продажи товаров и услуг по регулируемым видам деятельности в сфере холодного водоснабжения</v>
      </c>
      <c r="G83" s="2071" t="s">
        <v>551</v>
      </c>
      <c r="H83" s="979"/>
      <c r="I83" s="560">
        <v>-12742.5</v>
      </c>
      <c r="J83" s="979">
        <v>1392.3</v>
      </c>
      <c r="K83" s="292" t="str">
        <f>FHD_NOTE_P_42</f>
        <v/>
      </c>
      <c r="L83" s="546"/>
      <c r="M83" s="1639"/>
      <c r="N83" s="1639"/>
      <c r="S83" s="1639"/>
      <c r="V83" s="547"/>
      <c r="AB83" s="1635"/>
      <c r="AC83" s="1635"/>
      <c r="AD83" s="1635"/>
      <c r="AE83" s="1635"/>
      <c r="AF83" s="1635"/>
      <c r="AG83" s="1163">
        <v>19</v>
      </c>
    </row>
    <row s="1369" customFormat="1" customHeight="1" ht="39">
      <c r="A84" s="990"/>
      <c r="C84" s="1639" t="s">
        <v>582</v>
      </c>
      <c r="D84" s="1641"/>
      <c r="E84" s="549" t="str">
        <f>FHD_NUM_P_43</f>
        <v>6</v>
      </c>
      <c r="F84" s="1880" t="str">
        <f>FHD_P_43</f>
        <v>Годовая бухгалтерская (финансовая) отчетность, включая бухгалтерский баланс и приложения к нему</v>
      </c>
      <c r="G84" s="2074" t="s">
        <v>307</v>
      </c>
      <c r="H84" s="2659"/>
      <c r="I84" s="2670" t="s">
        <v>583</v>
      </c>
      <c r="J84" s="2671" t="s">
        <v>583</v>
      </c>
      <c r="K84"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4" s="546"/>
      <c r="M84" s="1639"/>
      <c r="N84" s="1639"/>
      <c r="S84" s="1639"/>
      <c r="V84" s="547"/>
      <c r="AB84" s="1635"/>
      <c r="AC84" s="1635"/>
      <c r="AD84" s="1635"/>
      <c r="AE84" s="1635"/>
      <c r="AF84" s="1635"/>
      <c r="AG84" s="1163">
        <v>19</v>
      </c>
    </row>
    <row s="1369" customFormat="1" customHeight="1" ht="18.75">
      <c r="A85" s="2393" t="s">
        <v>584</v>
      </c>
      <c r="C85" s="738"/>
      <c r="D85" s="736"/>
      <c r="E85" s="549" t="str">
        <f>FHD_NUM_P_44</f>
        <v>7</v>
      </c>
      <c r="F85" s="1880" t="str">
        <f>FHD_P_44</f>
        <v>Объём поднятой воды</v>
      </c>
      <c r="G85" s="1881" t="s">
        <v>585</v>
      </c>
      <c r="H85" s="980"/>
      <c r="I85" s="580">
        <v>2987.3</v>
      </c>
      <c r="J85" s="980">
        <v>0</v>
      </c>
      <c r="K85" s="292" t="str">
        <f>FHD_NOTE_P_44</f>
        <v/>
      </c>
      <c r="L85" s="737"/>
      <c r="M85" s="738"/>
      <c r="N85" s="738"/>
      <c r="S85" s="738"/>
      <c r="V85" s="739"/>
      <c r="AB85" s="740"/>
      <c r="AC85" s="740"/>
      <c r="AD85" s="740"/>
      <c r="AE85" s="740"/>
      <c r="AF85" s="740"/>
      <c r="AG85" s="913">
        <v>0</v>
      </c>
    </row>
    <row s="1369" customFormat="1" customHeight="1" ht="18.75">
      <c r="A86" s="2393"/>
      <c r="C86" s="738"/>
      <c r="D86" s="736"/>
      <c r="E86" s="549" t="str">
        <f>FHD_NUM_P_45</f>
        <v>8</v>
      </c>
      <c r="F86" s="1880" t="str">
        <f>FHD_P_45</f>
        <v>Объём покупной воды</v>
      </c>
      <c r="G86" s="1881" t="s">
        <v>585</v>
      </c>
      <c r="H86" s="980"/>
      <c r="I86" s="580">
        <v>0</v>
      </c>
      <c r="J86" s="980">
        <v>0</v>
      </c>
      <c r="K86" s="292" t="str">
        <f>FHD_NOTE_P_45</f>
        <v/>
      </c>
      <c r="L86" s="737"/>
      <c r="M86" s="738"/>
      <c r="N86" s="738"/>
      <c r="S86" s="738"/>
      <c r="V86" s="739"/>
      <c r="AB86" s="740"/>
      <c r="AC86" s="740"/>
      <c r="AD86" s="740"/>
      <c r="AE86" s="740"/>
      <c r="AF86" s="740"/>
      <c r="AG86" s="913">
        <v>0</v>
      </c>
    </row>
    <row s="1369" customFormat="1" customHeight="1" ht="18.75">
      <c r="A87" s="2393"/>
      <c r="C87" s="738"/>
      <c r="D87" s="741"/>
      <c r="E87" s="549" t="str">
        <f>FHD_NUM_P_46</f>
        <v>9</v>
      </c>
      <c r="F87" s="1880" t="str">
        <f>FHD_P_46</f>
        <v>Объём воды, пропущенной через очистные сооружения</v>
      </c>
      <c r="G87" s="1881" t="s">
        <v>585</v>
      </c>
      <c r="H87" s="980"/>
      <c r="I87" s="580">
        <v>0</v>
      </c>
      <c r="J87" s="980">
        <v>0</v>
      </c>
      <c r="K87" s="292" t="str">
        <f>FHD_NOTE_P_46</f>
        <v/>
      </c>
      <c r="L87" s="737"/>
      <c r="M87" s="738"/>
      <c r="N87" s="738"/>
      <c r="S87" s="738"/>
      <c r="V87" s="739"/>
      <c r="AB87" s="740"/>
      <c r="AC87" s="740"/>
      <c r="AD87" s="740"/>
      <c r="AE87" s="740"/>
      <c r="AF87" s="740"/>
      <c r="AG87" s="913">
        <v>0</v>
      </c>
    </row>
    <row s="1369" customFormat="1" customHeight="1" ht="18.75">
      <c r="A88" s="2393"/>
      <c r="C88" s="738"/>
      <c r="D88" s="736"/>
      <c r="E88" s="549" t="str">
        <f>FHD_NUM_P_47</f>
        <v>10</v>
      </c>
      <c r="F88" s="1880" t="str">
        <f>FHD_P_47</f>
        <v>Объём отпущенной потребителям воды, в том числе:</v>
      </c>
      <c r="G88" s="1881" t="s">
        <v>585</v>
      </c>
      <c r="H88" s="980"/>
      <c r="I88" s="580">
        <v>2377.6</v>
      </c>
      <c r="J88" s="980">
        <v>0</v>
      </c>
      <c r="K88" s="292" t="str">
        <f>FHD_NOTE_P_47</f>
        <v>Указывается общий объем отпущенной потребителям воды.</v>
      </c>
      <c r="L88" s="737"/>
      <c r="M88" s="738"/>
      <c r="N88" s="738"/>
      <c r="S88" s="738"/>
      <c r="V88" s="739"/>
      <c r="AB88" s="740"/>
      <c r="AC88" s="740"/>
      <c r="AD88" s="740"/>
      <c r="AE88" s="740"/>
      <c r="AF88" s="740"/>
      <c r="AG88" s="913">
        <v>0</v>
      </c>
    </row>
    <row s="1638" customFormat="1" customHeight="1" ht="18.75">
      <c r="A89" s="2393"/>
      <c r="B89" s="913"/>
      <c r="C89" s="738"/>
      <c r="D89" s="736"/>
      <c r="E89" s="549" t="str">
        <f>FHD_NUM_P_48</f>
        <v>10.1</v>
      </c>
      <c r="F89" s="1880" t="str">
        <f>FHD_P_48</f>
        <v>Объём отпущенной потребителям воды, определенный по приборам учета</v>
      </c>
      <c r="G89" s="1881" t="s">
        <v>585</v>
      </c>
      <c r="H89" s="980"/>
      <c r="I89" s="580">
        <v>2191</v>
      </c>
      <c r="J89" s="980">
        <v>0</v>
      </c>
      <c r="K89" s="292" t="str">
        <f>FHD_NOTE_P_48</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c r="A90" s="2393"/>
      <c r="B90" s="913"/>
      <c r="C90" s="738"/>
      <c r="D90" s="736"/>
      <c r="E90" s="549" t="str">
        <f>FHD_NUM_P_49</f>
        <v>10.2</v>
      </c>
      <c r="F90" s="1880" t="str">
        <f>FHD_P_49</f>
        <v>Объём отпущенной потребителям воды, определенный расчетным способом</v>
      </c>
      <c r="G90" s="1881" t="s">
        <v>585</v>
      </c>
      <c r="H90" s="981">
        <f>SUM(H91:H92)</f>
        <v>0</v>
      </c>
      <c r="I90" s="752">
        <f>SUM(I91:I92)</f>
        <v>186.6</v>
      </c>
      <c r="J90" s="981">
        <f>SUM(J91:J92)</f>
        <v>0</v>
      </c>
      <c r="K90" s="292" t="str">
        <f>FHD_NOTE_P_49</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638" customFormat="1" customHeight="1" ht="18.75">
      <c r="A91" s="2393"/>
      <c r="B91" s="913"/>
      <c r="C91" s="738"/>
      <c r="D91" s="736"/>
      <c r="E91" s="549" t="str">
        <f>FHD_NUM_P_50</f>
        <v>10.2.1</v>
      </c>
      <c r="F91" s="1880" t="str">
        <f>FHD_P_50</f>
        <v>Объём отпущенной потребителям воды, определенный по нормативам потребления коммунальных услуг</v>
      </c>
      <c r="G91" s="1881" t="s">
        <v>585</v>
      </c>
      <c r="H91" s="980"/>
      <c r="I91" s="580">
        <v>186.6</v>
      </c>
      <c r="J91" s="980">
        <v>0</v>
      </c>
      <c r="K91" s="292" t="str">
        <f>FHD_NOTE_P_50</f>
        <v/>
      </c>
      <c r="L91" s="737"/>
      <c r="M91" s="738"/>
      <c r="N91" s="738"/>
      <c r="O91" s="913"/>
      <c r="P91" s="913"/>
      <c r="Q91" s="913"/>
      <c r="R91" s="913"/>
      <c r="S91" s="738"/>
      <c r="T91" s="913"/>
      <c r="U91" s="913"/>
      <c r="V91" s="739"/>
      <c r="W91" s="913"/>
      <c r="X91" s="913"/>
      <c r="Y91" s="913"/>
      <c r="Z91" s="913"/>
      <c r="AA91" s="913"/>
      <c r="AB91" s="740"/>
      <c r="AC91" s="740"/>
      <c r="AD91" s="740"/>
      <c r="AE91" s="740"/>
      <c r="AF91" s="740"/>
      <c r="AG91" s="742">
        <v>0</v>
      </c>
    </row>
    <row s="1638" customFormat="1" customHeight="1" ht="18.75">
      <c r="A92" s="2393"/>
      <c r="B92" s="913"/>
      <c r="C92" s="738"/>
      <c r="D92" s="736"/>
      <c r="E92" s="549" t="str">
        <f>FHD_NUM_P_51</f>
        <v>10.2.2</v>
      </c>
      <c r="F92" s="1880" t="str">
        <f>FHD_P_51</f>
        <v>Объём отпущенной потребителям воды, определенный по нормативам потребления коммунальных ресурсов </v>
      </c>
      <c r="G92" s="1881" t="s">
        <v>585</v>
      </c>
      <c r="H92" s="980"/>
      <c r="I92" s="580">
        <v>0</v>
      </c>
      <c r="J92" s="980">
        <v>0</v>
      </c>
      <c r="K92" s="292" t="str">
        <f>FHD_NOTE_P_51</f>
        <v/>
      </c>
      <c r="L92" s="737"/>
      <c r="M92" s="738"/>
      <c r="N92" s="738"/>
      <c r="O92" s="913"/>
      <c r="P92" s="913"/>
      <c r="Q92" s="913"/>
      <c r="R92" s="913"/>
      <c r="S92" s="738"/>
      <c r="T92" s="913"/>
      <c r="U92" s="913"/>
      <c r="V92" s="739"/>
      <c r="W92" s="913"/>
      <c r="X92" s="913"/>
      <c r="Y92" s="913"/>
      <c r="Z92" s="913"/>
      <c r="AA92" s="913"/>
      <c r="AB92" s="740"/>
      <c r="AC92" s="740"/>
      <c r="AD92" s="740"/>
      <c r="AE92" s="740"/>
      <c r="AF92" s="740"/>
      <c r="AG92" s="742">
        <v>0</v>
      </c>
    </row>
    <row s="1638" customFormat="1" customHeight="1" ht="18.75">
      <c r="A93" s="2393"/>
      <c r="B93" s="913"/>
      <c r="C93" s="738"/>
      <c r="D93" s="736"/>
      <c r="E93" s="549" t="str">
        <f>FHD_NUM_P_52</f>
        <v>11</v>
      </c>
      <c r="F93" s="1880" t="str">
        <f>FHD_P_52</f>
        <v>Потери воды в сетях</v>
      </c>
      <c r="G93" s="1881" t="s">
        <v>557</v>
      </c>
      <c r="H93" s="979"/>
      <c r="I93" s="560">
        <v>20.4</v>
      </c>
      <c r="J93" s="979">
        <v>0</v>
      </c>
      <c r="K93" s="292" t="str">
        <f>FHD_NOTE_P_52</f>
        <v/>
      </c>
      <c r="L93" s="737"/>
      <c r="M93" s="738"/>
      <c r="N93" s="738"/>
      <c r="O93" s="913"/>
      <c r="P93" s="913"/>
      <c r="Q93" s="913"/>
      <c r="R93" s="913"/>
      <c r="S93" s="738"/>
      <c r="T93" s="913"/>
      <c r="U93" s="913"/>
      <c r="V93" s="739"/>
      <c r="W93" s="913"/>
      <c r="X93" s="913"/>
      <c r="Y93" s="913"/>
      <c r="Z93" s="913"/>
      <c r="AA93" s="913"/>
      <c r="AB93" s="740"/>
      <c r="AC93" s="740"/>
      <c r="AD93" s="740"/>
      <c r="AE93" s="740"/>
      <c r="AF93" s="740"/>
      <c r="AG93" s="742">
        <v>0</v>
      </c>
    </row>
    <row s="1369" customFormat="1" customHeight="1" ht="18.75" hidden="1">
      <c r="A94" s="2395" t="s">
        <v>586</v>
      </c>
      <c r="C94" s="738"/>
      <c r="D94" s="736"/>
      <c r="E94" s="549" t="str">
        <f>FHD_NUM_P_53</f>
        <v/>
      </c>
      <c r="F94" s="1880" t="str">
        <f>FHD_P_53</f>
        <v/>
      </c>
      <c r="G94" s="1881" t="s">
        <v>585</v>
      </c>
      <c r="H94" s="980"/>
      <c r="I94" s="580"/>
      <c r="J94" s="980"/>
      <c r="K94" s="292" t="str">
        <f>FHD_NOTE_P_53</f>
        <v/>
      </c>
      <c r="L94" s="737"/>
      <c r="M94" s="738"/>
      <c r="N94" s="738"/>
      <c r="S94" s="738"/>
      <c r="V94" s="739"/>
      <c r="AB94" s="740"/>
      <c r="AC94" s="740"/>
      <c r="AD94" s="740"/>
      <c r="AE94" s="740"/>
      <c r="AF94" s="740"/>
      <c r="AG94" s="913">
        <v>0</v>
      </c>
    </row>
    <row s="1369" customFormat="1" customHeight="1" ht="18.75" hidden="1">
      <c r="A95" s="2395"/>
      <c r="C95" s="738"/>
      <c r="D95" s="736"/>
      <c r="E95" s="549" t="str">
        <f>FHD_NUM_P_54</f>
        <v/>
      </c>
      <c r="F95" s="1880" t="str">
        <f>FHD_P_54</f>
        <v/>
      </c>
      <c r="G95" s="1881" t="s">
        <v>585</v>
      </c>
      <c r="H95" s="980"/>
      <c r="I95" s="580"/>
      <c r="J95" s="980"/>
      <c r="K95" s="292" t="str">
        <f>FHD_NOTE_P_54</f>
        <v/>
      </c>
      <c r="L95" s="737"/>
      <c r="M95" s="738"/>
      <c r="N95" s="738"/>
      <c r="S95" s="738"/>
      <c r="V95" s="739"/>
      <c r="AB95" s="740"/>
      <c r="AC95" s="740"/>
      <c r="AD95" s="740"/>
      <c r="AE95" s="740"/>
      <c r="AF95" s="740"/>
      <c r="AG95" s="913">
        <v>0</v>
      </c>
    </row>
    <row s="1369" customFormat="1" customHeight="1" ht="18.75" hidden="1">
      <c r="A96" s="2395"/>
      <c r="C96" s="738"/>
      <c r="D96" s="741"/>
      <c r="E96" s="549" t="str">
        <f>FHD_NUM_P_55</f>
        <v/>
      </c>
      <c r="F96" s="1880" t="str">
        <f>FHD_P_55</f>
        <v/>
      </c>
      <c r="G96" s="1884"/>
      <c r="H96" s="980"/>
      <c r="I96" s="580"/>
      <c r="J96" s="980"/>
      <c r="K96" s="292" t="str">
        <f>FHD_NOTE_P_55</f>
        <v/>
      </c>
      <c r="L96" s="737"/>
      <c r="M96" s="738"/>
      <c r="N96" s="738"/>
      <c r="S96" s="738"/>
      <c r="V96" s="739"/>
      <c r="AB96" s="740"/>
      <c r="AC96" s="740"/>
      <c r="AD96" s="740"/>
      <c r="AE96" s="740"/>
      <c r="AF96" s="740"/>
      <c r="AG96" s="913">
        <v>0</v>
      </c>
    </row>
    <row s="1369" customFormat="1" customHeight="1" ht="18.75" hidden="1">
      <c r="A97" s="2395"/>
      <c r="C97" s="738"/>
      <c r="D97" s="736"/>
      <c r="E97" s="549" t="str">
        <f>FHD_NUM_P_56</f>
        <v/>
      </c>
      <c r="F97" s="1880" t="str">
        <f>FHD_P_56</f>
        <v/>
      </c>
      <c r="G97" s="1881" t="s">
        <v>587</v>
      </c>
      <c r="H97" s="980"/>
      <c r="I97" s="580"/>
      <c r="J97" s="980"/>
      <c r="K97" s="292" t="str">
        <f>FHD_NOTE_P_56</f>
        <v/>
      </c>
      <c r="L97" s="737"/>
      <c r="M97" s="738"/>
      <c r="N97" s="738"/>
      <c r="S97" s="738"/>
      <c r="V97" s="739"/>
      <c r="AB97" s="740"/>
      <c r="AC97" s="740"/>
      <c r="AD97" s="740"/>
      <c r="AE97" s="740"/>
      <c r="AF97" s="740"/>
      <c r="AG97" s="913">
        <v>0</v>
      </c>
    </row>
    <row s="1638" customFormat="1" customHeight="1" ht="18.75" hidden="1">
      <c r="A98" s="2395"/>
      <c r="B98" s="913"/>
      <c r="C98" s="738"/>
      <c r="D98" s="736"/>
      <c r="E98" s="549" t="str">
        <f>FHD_NUM_P_57</f>
        <v/>
      </c>
      <c r="F98" s="1880" t="str">
        <f>FHD_P_57</f>
        <v/>
      </c>
      <c r="G98" s="1881" t="s">
        <v>557</v>
      </c>
      <c r="H98" s="979"/>
      <c r="I98" s="560"/>
      <c r="J98" s="979"/>
      <c r="K98" s="292" t="str">
        <f>FHD_NOTE_P_57</f>
        <v/>
      </c>
      <c r="L98" s="737"/>
      <c r="M98" s="738"/>
      <c r="N98" s="738"/>
      <c r="O98" s="913"/>
      <c r="P98" s="913"/>
      <c r="Q98" s="913"/>
      <c r="R98" s="913"/>
      <c r="S98" s="738"/>
      <c r="T98" s="913"/>
      <c r="U98" s="913"/>
      <c r="V98" s="739"/>
      <c r="W98" s="913"/>
      <c r="X98" s="913"/>
      <c r="Y98" s="913"/>
      <c r="Z98" s="913"/>
      <c r="AA98" s="913"/>
      <c r="AB98" s="740"/>
      <c r="AC98" s="740"/>
      <c r="AD98" s="740"/>
      <c r="AE98" s="740"/>
      <c r="AF98" s="740"/>
      <c r="AG98" s="742">
        <v>0</v>
      </c>
    </row>
    <row customHeight="1" ht="18.75" hidden="1">
      <c r="A99" s="2393" t="s">
        <v>588</v>
      </c>
      <c r="D99" s="1641"/>
      <c r="E99" s="549" t="str">
        <f>FHD_NUM_P_58</f>
        <v/>
      </c>
      <c r="F99" s="1880" t="str">
        <f>FHD_P_58</f>
        <v/>
      </c>
      <c r="G99" s="1881" t="s">
        <v>585</v>
      </c>
      <c r="H99" s="980"/>
      <c r="I99" s="580"/>
      <c r="J99" s="980"/>
      <c r="K99" s="292" t="str">
        <f>FHD_NOTE_P_58</f>
        <v/>
      </c>
      <c r="L99" s="546"/>
      <c r="AG99" s="1634">
        <v>0</v>
      </c>
    </row>
    <row customHeight="1" ht="18.75" hidden="1">
      <c r="A100" s="2393"/>
      <c r="D100" s="1641"/>
      <c r="E100" s="549" t="str">
        <f>FHD_NUM_P_59</f>
        <v/>
      </c>
      <c r="F100" s="1880" t="str">
        <f>FHD_P_59</f>
        <v/>
      </c>
      <c r="G100" s="1881" t="s">
        <v>585</v>
      </c>
      <c r="H100" s="980"/>
      <c r="I100" s="580"/>
      <c r="J100" s="980"/>
      <c r="K100" s="292" t="str">
        <f>FHD_NOTE_P_59</f>
        <v/>
      </c>
      <c r="L100" s="546"/>
      <c r="AG100" s="1634">
        <v>0</v>
      </c>
    </row>
    <row customHeight="1" ht="18.75" hidden="1">
      <c r="A101" s="2393"/>
      <c r="D101" s="1641"/>
      <c r="E101" s="549" t="str">
        <f>FHD_NUM_P_60</f>
        <v/>
      </c>
      <c r="F101" s="1880" t="str">
        <f>FHD_P_60</f>
        <v/>
      </c>
      <c r="G101" s="1881" t="s">
        <v>585</v>
      </c>
      <c r="H101" s="980"/>
      <c r="I101" s="580"/>
      <c r="J101" s="980"/>
      <c r="K101" s="292" t="str">
        <f>FHD_NOTE_P_60</f>
        <v/>
      </c>
      <c r="L101" s="546"/>
      <c r="AG101" s="1634">
        <v>0</v>
      </c>
    </row>
    <row s="1369" customFormat="1" customHeight="1" ht="18.75" hidden="1">
      <c r="A102" s="2393" t="s">
        <v>589</v>
      </c>
      <c r="C102" s="1639"/>
      <c r="D102" s="1641"/>
      <c r="E102" s="549" t="str">
        <f>FHD_NUM_P_61</f>
        <v/>
      </c>
      <c r="F102" s="1880" t="str">
        <f>FHD_P_61</f>
        <v/>
      </c>
      <c r="G102" s="1878" t="s">
        <v>555</v>
      </c>
      <c r="H102" s="982"/>
      <c r="I102" s="745"/>
      <c r="J102" s="982"/>
      <c r="K102" s="292" t="str">
        <f>FHD_NOTE_P_61</f>
        <v/>
      </c>
      <c r="L102" s="546"/>
      <c r="M102" s="1639"/>
      <c r="N102" s="1639"/>
      <c r="S102" s="1639"/>
      <c r="V102" s="547"/>
      <c r="AB102" s="1635"/>
      <c r="AC102" s="1635"/>
      <c r="AD102" s="1635"/>
      <c r="AE102" s="1635"/>
      <c r="AF102" s="1635"/>
      <c r="AG102" s="1163">
        <v>0</v>
      </c>
    </row>
    <row s="1645" customFormat="1" customHeight="1" ht="0.75" hidden="1">
      <c r="A103" s="2393"/>
      <c r="D103" s="551"/>
      <c r="E103" s="1016" t="str">
        <f>E102&amp;".0"</f>
        <v>.0</v>
      </c>
      <c r="F103" s="997"/>
      <c r="G103" s="998"/>
      <c r="H103" s="995"/>
      <c r="I103" s="995"/>
      <c r="J103" s="995"/>
      <c r="K103" s="999"/>
      <c r="AG103" s="1639">
        <v>0</v>
      </c>
    </row>
    <row customHeight="1" ht="15" hidden="1">
      <c r="A104" s="2393"/>
      <c r="D104" s="1636"/>
      <c r="E104" s="974"/>
      <c r="F104" s="975" t="s">
        <v>590</v>
      </c>
      <c r="G104" s="575"/>
      <c r="H104" s="576"/>
      <c r="I104" s="576"/>
      <c r="J104" s="2672"/>
      <c r="K104" s="1007" t="s">
        <v>591</v>
      </c>
      <c r="L104" s="546"/>
      <c r="AG104" s="1634">
        <v>0</v>
      </c>
    </row>
    <row s="1369" customFormat="1" customHeight="1" ht="18.75" hidden="1">
      <c r="A105" s="2393"/>
      <c r="C105" s="1639"/>
      <c r="D105" s="1641"/>
      <c r="E105" s="549" t="str">
        <f>FHD_NUM_P_62</f>
        <v/>
      </c>
      <c r="F105" s="1880" t="str">
        <f>FHD_P_62</f>
        <v/>
      </c>
      <c r="G105" s="1877" t="s">
        <v>555</v>
      </c>
      <c r="H105" s="560"/>
      <c r="I105" s="560"/>
      <c r="J105" s="560"/>
      <c r="K105" s="292" t="str">
        <f>FHD_NOTE_P_62</f>
        <v/>
      </c>
      <c r="L105" s="546"/>
      <c r="M105" s="1639"/>
      <c r="N105" s="1639"/>
      <c r="S105" s="1639"/>
      <c r="V105" s="547"/>
      <c r="AB105" s="1635"/>
      <c r="AC105" s="1635"/>
      <c r="AD105" s="1635"/>
      <c r="AE105" s="1635"/>
      <c r="AF105" s="1635"/>
      <c r="AG105" s="1163">
        <v>0</v>
      </c>
    </row>
    <row s="1369" customFormat="1" customHeight="1" ht="18.75" hidden="1">
      <c r="A106" s="2393"/>
      <c r="C106" s="1639"/>
      <c r="D106" s="1641"/>
      <c r="E106" s="549" t="str">
        <f>FHD_NUM_P_63</f>
        <v/>
      </c>
      <c r="F106" s="1880" t="str">
        <f>FHD_P_63</f>
        <v/>
      </c>
      <c r="G106" s="1877" t="s">
        <v>587</v>
      </c>
      <c r="H106" s="580"/>
      <c r="I106" s="580"/>
      <c r="J106" s="580"/>
      <c r="K106" s="292" t="str">
        <f>FHD_NOTE_P_63</f>
        <v/>
      </c>
      <c r="L106" s="546"/>
      <c r="M106" s="1639"/>
      <c r="N106" s="1639"/>
      <c r="S106" s="1639"/>
      <c r="V106" s="547"/>
      <c r="AB106" s="1635"/>
      <c r="AC106" s="1635"/>
      <c r="AD106" s="1635"/>
      <c r="AE106" s="1635"/>
      <c r="AF106" s="1635"/>
      <c r="AG106" s="1163">
        <v>0</v>
      </c>
    </row>
    <row s="1369" customFormat="1" customHeight="1" ht="18.75" hidden="1">
      <c r="A107" s="2393"/>
      <c r="C107" s="1639"/>
      <c r="D107" s="1641"/>
      <c r="E107" s="549" t="str">
        <f>FHD_NUM_P_64</f>
        <v/>
      </c>
      <c r="F107" s="1880" t="str">
        <f>FHD_P_64</f>
        <v/>
      </c>
      <c r="G107" s="1877" t="s">
        <v>587</v>
      </c>
      <c r="H107" s="1410"/>
      <c r="I107" s="754"/>
      <c r="J107" s="1410"/>
      <c r="K107" s="292" t="str">
        <f>FHD_NOTE_P_64</f>
        <v/>
      </c>
      <c r="L107" s="546"/>
      <c r="M107" s="1639"/>
      <c r="N107" s="1639"/>
      <c r="S107" s="1639"/>
      <c r="V107" s="547"/>
      <c r="AB107" s="1635"/>
      <c r="AC107" s="1635"/>
      <c r="AD107" s="1635"/>
      <c r="AE107" s="1635"/>
      <c r="AF107" s="1635"/>
      <c r="AG107" s="1163">
        <v>0</v>
      </c>
    </row>
    <row s="1369" customFormat="1" customHeight="1" ht="18.75" hidden="1">
      <c r="A108" s="2393"/>
      <c r="C108" s="1639"/>
      <c r="D108" s="1641"/>
      <c r="E108" s="549" t="str">
        <f>FHD_NUM_P_65</f>
        <v/>
      </c>
      <c r="F108" s="1880" t="str">
        <f>FHD_P_65</f>
        <v/>
      </c>
      <c r="G108" s="1877" t="s">
        <v>587</v>
      </c>
      <c r="H108" s="580"/>
      <c r="I108" s="580"/>
      <c r="J108" s="580"/>
      <c r="K108" s="292" t="str">
        <f>FHD_NOTE_P_65</f>
        <v/>
      </c>
      <c r="L108" s="546"/>
      <c r="M108" s="1639"/>
      <c r="N108" s="1639"/>
      <c r="S108" s="1639"/>
      <c r="V108" s="547"/>
      <c r="AB108" s="1635"/>
      <c r="AC108" s="1635"/>
      <c r="AD108" s="1635"/>
      <c r="AE108" s="1635"/>
      <c r="AF108" s="1635"/>
      <c r="AG108" s="1163">
        <v>0</v>
      </c>
    </row>
    <row s="1369" customFormat="1" customHeight="1" ht="18.75" hidden="1">
      <c r="A109" s="2393"/>
      <c r="C109" s="1639"/>
      <c r="D109" s="1641"/>
      <c r="E109" s="549" t="str">
        <f>FHD_NUM_P_66</f>
        <v/>
      </c>
      <c r="F109" s="1527" t="str">
        <f>FHD_P_66</f>
        <v/>
      </c>
      <c r="G109" s="1877" t="s">
        <v>587</v>
      </c>
      <c r="H109" s="580"/>
      <c r="I109" s="580"/>
      <c r="J109" s="580"/>
      <c r="K109" s="292" t="str">
        <f>FHD_NOTE_P_66</f>
        <v/>
      </c>
      <c r="L109" s="546"/>
      <c r="M109" s="1639"/>
      <c r="N109" s="1639"/>
      <c r="S109" s="1639"/>
      <c r="V109" s="547"/>
      <c r="AB109" s="1635"/>
      <c r="AC109" s="1635"/>
      <c r="AD109" s="1635"/>
      <c r="AE109" s="1635"/>
      <c r="AF109" s="1635"/>
      <c r="AG109" s="1163">
        <v>0</v>
      </c>
    </row>
    <row s="1369" customFormat="1" customHeight="1" ht="18.75" hidden="1">
      <c r="A110" s="2393"/>
      <c r="C110" s="1639"/>
      <c r="D110" s="1641"/>
      <c r="E110" s="549" t="str">
        <f>FHD_NUM_P_67</f>
        <v/>
      </c>
      <c r="F110" s="1653" t="str">
        <f>FHD_P_67</f>
        <v/>
      </c>
      <c r="G110" s="1877" t="s">
        <v>587</v>
      </c>
      <c r="H110" s="580"/>
      <c r="I110" s="580"/>
      <c r="J110" s="580"/>
      <c r="K110" s="292" t="str">
        <f>FHD_NOTE_P_67</f>
        <v/>
      </c>
      <c r="L110" s="546"/>
      <c r="M110" s="1639"/>
      <c r="N110" s="1639"/>
      <c r="S110" s="1639"/>
      <c r="V110" s="547"/>
      <c r="AB110" s="1635"/>
      <c r="AC110" s="1635"/>
      <c r="AD110" s="1635"/>
      <c r="AE110" s="1635"/>
      <c r="AF110" s="1635"/>
      <c r="AG110" s="1163">
        <v>0</v>
      </c>
    </row>
    <row s="1369" customFormat="1" customHeight="1" ht="18.75" hidden="1">
      <c r="A111" s="2393"/>
      <c r="C111" s="1639"/>
      <c r="D111" s="1641"/>
      <c r="E111" s="549" t="str">
        <f>FHD_NUM_P_68</f>
        <v/>
      </c>
      <c r="F111" s="1527" t="str">
        <f>FHD_P_68</f>
        <v/>
      </c>
      <c r="G111" s="1877" t="s">
        <v>587</v>
      </c>
      <c r="H111" s="580"/>
      <c r="I111" s="580"/>
      <c r="J111" s="580"/>
      <c r="K111" s="292" t="str">
        <f>FHD_NOTE_P_68</f>
        <v/>
      </c>
      <c r="L111" s="546"/>
      <c r="M111" s="1639"/>
      <c r="N111" s="1639"/>
      <c r="S111" s="1639"/>
      <c r="V111" s="547"/>
      <c r="AB111" s="1635"/>
      <c r="AC111" s="1635"/>
      <c r="AD111" s="1635"/>
      <c r="AE111" s="1635"/>
      <c r="AF111" s="1635"/>
      <c r="AG111" s="1163">
        <v>0</v>
      </c>
    </row>
    <row s="1369" customFormat="1" customHeight="1" ht="18.75" hidden="1">
      <c r="A112" s="2393"/>
      <c r="C112" s="1639"/>
      <c r="D112" s="1641"/>
      <c r="E112" s="549" t="str">
        <f>FHD_NUM_P_69</f>
        <v/>
      </c>
      <c r="F112" s="1527" t="str">
        <f>FHD_P_69</f>
        <v/>
      </c>
      <c r="G112" s="1877" t="s">
        <v>587</v>
      </c>
      <c r="H112" s="580"/>
      <c r="I112" s="580"/>
      <c r="J112" s="580"/>
      <c r="K112" s="292" t="str">
        <f>FHD_NOTE_P_69</f>
        <v/>
      </c>
      <c r="L112" s="546"/>
      <c r="M112" s="1639"/>
      <c r="N112" s="1639"/>
      <c r="S112" s="1639"/>
      <c r="V112" s="547"/>
      <c r="AB112" s="1635"/>
      <c r="AC112" s="1635"/>
      <c r="AD112" s="1635"/>
      <c r="AE112" s="1635"/>
      <c r="AF112" s="1635"/>
      <c r="AG112" s="1163">
        <v>0</v>
      </c>
    </row>
    <row s="1369" customFormat="1" customHeight="1" ht="22.5" hidden="1">
      <c r="A113" s="2393"/>
      <c r="C113" s="1639"/>
      <c r="D113" s="1641"/>
      <c r="E113" s="549" t="str">
        <f>FHD_NUM_P_70</f>
        <v/>
      </c>
      <c r="F113" s="1880" t="str">
        <f>FHD_P_70</f>
        <v/>
      </c>
      <c r="G113" s="1877" t="s">
        <v>592</v>
      </c>
      <c r="H113" s="560"/>
      <c r="I113" s="560"/>
      <c r="J113" s="560"/>
      <c r="K113" s="292" t="str">
        <f>FHD_NOTE_P_70</f>
        <v/>
      </c>
      <c r="L113" s="546"/>
      <c r="M113" s="1639"/>
      <c r="N113" s="1639"/>
      <c r="S113" s="1639"/>
      <c r="V113" s="547"/>
      <c r="AB113" s="1635"/>
      <c r="AC113" s="1635"/>
      <c r="AD113" s="1635"/>
      <c r="AE113" s="1635"/>
      <c r="AF113" s="1635"/>
      <c r="AG113" s="1163">
        <v>0</v>
      </c>
    </row>
    <row s="1369" customFormat="1" customHeight="1" ht="22.5" hidden="1">
      <c r="A114" s="2393"/>
      <c r="C114" s="1639"/>
      <c r="D114" s="1641"/>
      <c r="E114" s="549" t="str">
        <f>FHD_NUM_P_71</f>
        <v/>
      </c>
      <c r="F114" s="1880" t="str">
        <f>FHD_P_71</f>
        <v/>
      </c>
      <c r="G114" s="1877" t="s">
        <v>592</v>
      </c>
      <c r="H114" s="560"/>
      <c r="I114" s="560"/>
      <c r="J114" s="560"/>
      <c r="K114" s="292" t="str">
        <f>FHD_NOTE_P_71</f>
        <v/>
      </c>
      <c r="L114" s="546"/>
      <c r="M114" s="1639"/>
      <c r="N114" s="1639"/>
      <c r="S114" s="1639"/>
      <c r="V114" s="547"/>
      <c r="AB114" s="1635"/>
      <c r="AC114" s="1635"/>
      <c r="AD114" s="1635"/>
      <c r="AE114" s="1635"/>
      <c r="AF114" s="1635"/>
      <c r="AG114" s="1163">
        <v>0</v>
      </c>
    </row>
    <row customHeight="1" ht="20.25">
      <c r="D115" s="1641"/>
      <c r="E115" s="549" t="str">
        <f>FHD_NUM_P_72</f>
        <v>12</v>
      </c>
      <c r="F115" s="1880" t="str">
        <f>FHD_P_72</f>
        <v>Среднесписочная численность основного производственного персонала</v>
      </c>
      <c r="G115" s="1876" t="s">
        <v>593</v>
      </c>
      <c r="H115" s="580"/>
      <c r="I115" s="580">
        <v>84</v>
      </c>
      <c r="J115" s="580">
        <v>3</v>
      </c>
      <c r="K115" s="292" t="str">
        <f>FHD_NOTE_P_72</f>
        <v/>
      </c>
      <c r="L115" s="546"/>
      <c r="AG115" s="1634">
        <v>19</v>
      </c>
    </row>
    <row customHeight="1" ht="18.75" hidden="1">
      <c r="A116" s="992" t="s">
        <v>594</v>
      </c>
      <c r="D116" s="1641"/>
      <c r="E116" s="549" t="str">
        <f>FHD_NUM_P_73</f>
        <v/>
      </c>
      <c r="F116" s="1880" t="str">
        <f>FHD_P_73</f>
        <v/>
      </c>
      <c r="G116" s="973" t="s">
        <v>593</v>
      </c>
      <c r="H116" s="971"/>
      <c r="I116" s="971"/>
      <c r="J116" s="971"/>
      <c r="K116" s="292" t="str">
        <f>FHD_NOTE_P_73</f>
        <v/>
      </c>
      <c r="L116" s="546"/>
      <c r="AG116" s="1634">
        <v>0</v>
      </c>
    </row>
    <row customHeight="1" ht="33.75">
      <c r="A117" s="992" t="s">
        <v>595</v>
      </c>
      <c r="D117" s="1641"/>
      <c r="E117" s="549" t="str">
        <f>FHD_NUM_P_74</f>
        <v>13</v>
      </c>
      <c r="F117" s="1880" t="str">
        <f>FHD_P_74</f>
        <v>Удельный расход электрической энергии на подачу воды в сеть</v>
      </c>
      <c r="G117" s="1876" t="s">
        <v>596</v>
      </c>
      <c r="H117" s="580"/>
      <c r="I117" s="580">
        <v>0.682</v>
      </c>
      <c r="J117" s="580">
        <v>0</v>
      </c>
      <c r="K117" s="292" t="str">
        <f>FHD_NOTE_P_74</f>
        <v/>
      </c>
      <c r="L117" s="546"/>
      <c r="AG117" s="1634">
        <v>0</v>
      </c>
    </row>
    <row s="1638" customFormat="1" customHeight="1" ht="18.75">
      <c r="A118" s="2395" t="s">
        <v>597</v>
      </c>
      <c r="B118" s="913"/>
      <c r="C118" s="738"/>
      <c r="D118" s="736"/>
      <c r="E118" s="549" t="str">
        <f>FHD_NUM_P_75</f>
        <v>14</v>
      </c>
      <c r="F118" s="1880" t="str">
        <f>FHD_P_75</f>
        <v>Расход воды на собственные нужды, в том числе:</v>
      </c>
      <c r="G118" s="1876" t="s">
        <v>557</v>
      </c>
      <c r="H118" s="560"/>
      <c r="I118" s="560">
        <v>1.6</v>
      </c>
      <c r="J118" s="560">
        <v>0</v>
      </c>
      <c r="K118" s="292" t="str">
        <f>FHD_NOTE_P_75</f>
        <v>Указывается доля общего расхода воды на собственные нужны от объема отпуска воды потребителям.</v>
      </c>
      <c r="L118" s="737"/>
      <c r="M118" s="738"/>
      <c r="N118" s="738"/>
      <c r="O118" s="913"/>
      <c r="P118" s="913"/>
      <c r="Q118" s="913"/>
      <c r="R118" s="913"/>
      <c r="S118" s="738"/>
      <c r="T118" s="913"/>
      <c r="U118" s="913"/>
      <c r="V118" s="739"/>
      <c r="W118" s="913"/>
      <c r="X118" s="913"/>
      <c r="Y118" s="913"/>
      <c r="Z118" s="913"/>
      <c r="AA118" s="913"/>
      <c r="AB118" s="740"/>
      <c r="AC118" s="740"/>
      <c r="AD118" s="740"/>
      <c r="AE118" s="740"/>
      <c r="AF118" s="740"/>
      <c r="AG118" s="742">
        <v>0</v>
      </c>
    </row>
    <row s="1638" customFormat="1" customHeight="1" ht="18.75">
      <c r="A119" s="2395"/>
      <c r="B119" s="913"/>
      <c r="C119" s="738"/>
      <c r="D119" s="736"/>
      <c r="E119" s="549" t="str">
        <f>FHD_NUM_P_76</f>
        <v>14.1</v>
      </c>
      <c r="F119" s="1880" t="str">
        <f>FHD_P_76</f>
        <v>Расход воды на хозяйственно-бытовые нужды</v>
      </c>
      <c r="G119" s="1876" t="s">
        <v>557</v>
      </c>
      <c r="H119" s="560"/>
      <c r="I119" s="560">
        <v>1.6</v>
      </c>
      <c r="J119" s="560">
        <v>0</v>
      </c>
      <c r="K119" s="292" t="str">
        <f>FHD_NOTE_P_76</f>
        <v>Указывается доля расхода воды на хозяйственно-бытовые нужны от объема отпуска воды потребителям.</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s="1638" customFormat="1" customHeight="1" ht="18.75">
      <c r="A120" s="2395"/>
      <c r="B120" s="913"/>
      <c r="C120" s="738"/>
      <c r="D120" s="736"/>
      <c r="E120" s="549" t="str">
        <f>FHD_NUM_P_77</f>
        <v>15</v>
      </c>
      <c r="F120" s="1880" t="str">
        <f>FHD_P_77</f>
        <v>Показатель использования производственных объектов (по объему перекачки), в том числе:</v>
      </c>
      <c r="G120" s="1876" t="s">
        <v>557</v>
      </c>
      <c r="H120" s="560"/>
      <c r="I120" s="560">
        <v>78</v>
      </c>
      <c r="J120" s="560">
        <v>0</v>
      </c>
      <c r="K120"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20" s="737"/>
      <c r="M120" s="738"/>
      <c r="N120" s="738"/>
      <c r="O120" s="913"/>
      <c r="P120" s="913"/>
      <c r="Q120" s="913"/>
      <c r="R120" s="913"/>
      <c r="S120" s="738"/>
      <c r="T120" s="913"/>
      <c r="U120" s="913"/>
      <c r="V120" s="739"/>
      <c r="W120" s="913"/>
      <c r="X120" s="913"/>
      <c r="Y120" s="913"/>
      <c r="Z120" s="913"/>
      <c r="AA120" s="913"/>
      <c r="AB120" s="740"/>
      <c r="AC120" s="740"/>
      <c r="AD120" s="740"/>
      <c r="AE120" s="740"/>
      <c r="AF120" s="740"/>
      <c r="AG120" s="742">
        <v>0</v>
      </c>
    </row>
    <row s="1645" customFormat="1" customHeight="1" ht="0.75">
      <c r="A121" s="2395"/>
      <c r="D121" s="551"/>
      <c r="E121" s="1016" t="str">
        <f>E120&amp;".0"</f>
        <v>15.0</v>
      </c>
      <c r="F121" s="1000"/>
      <c r="G121" s="1654"/>
      <c r="H121" s="995"/>
      <c r="I121" s="995"/>
      <c r="J121" s="995"/>
      <c r="K121" s="999"/>
      <c r="AG121" s="1639">
        <v>0</v>
      </c>
    </row>
    <row s="1638" customFormat="1" customHeight="1" ht="15">
      <c r="A122" s="2395"/>
      <c r="B122" s="913"/>
      <c r="C122" s="738"/>
      <c r="D122" s="749"/>
      <c r="E122" s="976"/>
      <c r="F122" s="977" t="s">
        <v>598</v>
      </c>
      <c r="G122" s="750"/>
      <c r="H122" s="751"/>
      <c r="I122" s="751"/>
      <c r="J122" s="2673"/>
      <c r="K122" s="1006" t="s">
        <v>599</v>
      </c>
      <c r="L122" s="737"/>
      <c r="M122" s="738"/>
      <c r="N122" s="738"/>
      <c r="O122" s="913"/>
      <c r="P122" s="913"/>
      <c r="Q122" s="913"/>
      <c r="R122" s="913"/>
      <c r="S122" s="738"/>
      <c r="T122" s="913"/>
      <c r="U122" s="913"/>
      <c r="V122" s="739"/>
      <c r="W122" s="913"/>
      <c r="X122" s="913"/>
      <c r="Y122" s="913"/>
      <c r="Z122" s="913"/>
      <c r="AA122" s="913"/>
      <c r="AB122" s="740"/>
      <c r="AC122" s="740"/>
      <c r="AD122" s="740"/>
      <c r="AE122" s="740"/>
      <c r="AF122" s="740"/>
      <c r="AG122" s="742">
        <v>0</v>
      </c>
    </row>
    <row customHeight="1" ht="22.5" hidden="1">
      <c r="A123" s="2393" t="s">
        <v>600</v>
      </c>
      <c r="D123" s="1641"/>
      <c r="E123" s="549" t="str">
        <f>FHD_NUM_P_78</f>
        <v/>
      </c>
      <c r="F123" s="1880" t="str">
        <f>FHD_P_78</f>
        <v/>
      </c>
      <c r="G123" s="1877" t="s">
        <v>559</v>
      </c>
      <c r="H123" s="580"/>
      <c r="I123" s="580"/>
      <c r="J123" s="580"/>
      <c r="K123" s="292" t="str">
        <f>FHD_NOTE_P_78</f>
        <v/>
      </c>
      <c r="L123" s="546"/>
      <c r="AG123" s="1634">
        <v>0</v>
      </c>
    </row>
    <row s="1645" customFormat="1" customHeight="1" ht="0.75" hidden="1">
      <c r="A124" s="2393"/>
      <c r="D124" s="551"/>
      <c r="E124" s="1016" t="str">
        <f>E123&amp;".0"</f>
        <v>.0</v>
      </c>
      <c r="F124" s="1000"/>
      <c r="G124" s="1654"/>
      <c r="H124" s="995"/>
      <c r="I124" s="995"/>
      <c r="J124" s="995"/>
      <c r="K124" s="999"/>
      <c r="AG124" s="1639">
        <v>0</v>
      </c>
    </row>
    <row customHeight="1" ht="15" hidden="1">
      <c r="A125" s="2393"/>
      <c r="D125" s="1636"/>
      <c r="E125" s="573"/>
      <c r="F125" s="1171" t="s">
        <v>590</v>
      </c>
      <c r="G125" s="575"/>
      <c r="H125" s="576"/>
      <c r="I125" s="576"/>
      <c r="J125" s="2672"/>
      <c r="K125" s="1007" t="s">
        <v>601</v>
      </c>
      <c r="L125" s="546"/>
      <c r="AG125" s="1634">
        <v>0</v>
      </c>
    </row>
    <row customHeight="1" ht="22.5" hidden="1">
      <c r="A126" s="2393"/>
      <c r="D126" s="1641"/>
      <c r="E126" s="549" t="str">
        <f>FHD_NUM_P_79</f>
        <v/>
      </c>
      <c r="F126" s="1880" t="str">
        <f>FHD_P_79</f>
        <v/>
      </c>
      <c r="G126" s="1878" t="s">
        <v>561</v>
      </c>
      <c r="H126" s="580"/>
      <c r="I126" s="580"/>
      <c r="J126" s="580"/>
      <c r="K126" s="292" t="str">
        <f>FHD_NOTE_P_79</f>
        <v/>
      </c>
      <c r="L126" s="546"/>
      <c r="AG126" s="1634">
        <v>0</v>
      </c>
    </row>
    <row s="1645" customFormat="1" customHeight="1" ht="0.75" hidden="1">
      <c r="A127" s="2393"/>
      <c r="D127" s="551"/>
      <c r="E127" s="1016" t="str">
        <f>E126&amp;".0"</f>
        <v>.0</v>
      </c>
      <c r="F127" s="1001"/>
      <c r="G127" s="1654"/>
      <c r="H127" s="995"/>
      <c r="I127" s="995"/>
      <c r="J127" s="995"/>
      <c r="K127" s="999"/>
      <c r="AG127" s="1639">
        <v>0</v>
      </c>
    </row>
    <row customHeight="1" ht="15" hidden="1">
      <c r="A128" s="2393"/>
      <c r="D128" s="1636"/>
      <c r="E128" s="573"/>
      <c r="F128" s="1171" t="s">
        <v>590</v>
      </c>
      <c r="G128" s="575"/>
      <c r="H128" s="576"/>
      <c r="I128" s="576"/>
      <c r="J128" s="2672"/>
      <c r="K128" s="1007" t="s">
        <v>602</v>
      </c>
      <c r="L128" s="546"/>
      <c r="AG128" s="1634">
        <v>0</v>
      </c>
    </row>
    <row customHeight="1" ht="22.5" hidden="1">
      <c r="A129" s="2393"/>
      <c r="D129" s="1641"/>
      <c r="E129" s="549" t="str">
        <f>FHD_NUM_P_80</f>
        <v/>
      </c>
      <c r="F129" s="1880" t="str">
        <f>FHD_P_80</f>
        <v/>
      </c>
      <c r="G129" s="1878" t="s">
        <v>603</v>
      </c>
      <c r="H129" s="560"/>
      <c r="I129" s="560"/>
      <c r="J129" s="560"/>
      <c r="K129" s="292" t="str">
        <f>FHD_NOTE_P_80</f>
        <v/>
      </c>
      <c r="L129" s="546"/>
      <c r="AG129" s="1634">
        <v>0</v>
      </c>
    </row>
    <row customHeight="1" ht="18.75" hidden="1">
      <c r="A130" s="2393"/>
      <c r="D130" s="1641"/>
      <c r="E130" s="549" t="str">
        <f>FHD_NUM_P_81</f>
        <v/>
      </c>
      <c r="F130" s="1880" t="str">
        <f>FHD_P_81</f>
        <v/>
      </c>
      <c r="G130" s="1878" t="s">
        <v>604</v>
      </c>
      <c r="H130" s="560"/>
      <c r="I130" s="560"/>
      <c r="J130" s="560"/>
      <c r="K130" s="292" t="str">
        <f>FHD_NOTE_P_81</f>
        <v/>
      </c>
      <c r="L130" s="546"/>
      <c r="AG130" s="1634">
        <v>0</v>
      </c>
    </row>
    <row customHeight="1" ht="18.75" hidden="1">
      <c r="A131" s="2393"/>
      <c r="C131" s="1639" t="s">
        <v>582</v>
      </c>
      <c r="D131" s="1641"/>
      <c r="E131" s="549" t="str">
        <f>FHD_NUM_P_82</f>
        <v/>
      </c>
      <c r="F131" s="1880" t="str">
        <f>FHD_P_82</f>
        <v/>
      </c>
      <c r="G131" s="1878" t="s">
        <v>307</v>
      </c>
      <c r="H131" s="404"/>
      <c r="I131" s="404"/>
      <c r="J131" s="821"/>
      <c r="K131" s="292" t="str">
        <f>FHD_NOTE_P_82</f>
        <v/>
      </c>
      <c r="L131" s="546"/>
      <c r="AG131" s="1634">
        <v>0</v>
      </c>
    </row>
    <row customHeight="1" ht="18.75" hidden="1">
      <c r="A132" s="2393"/>
      <c r="C132" s="1639" t="s">
        <v>582</v>
      </c>
      <c r="D132" s="1641"/>
      <c r="E132" s="549" t="str">
        <f>FHD_NUM_P_83</f>
        <v/>
      </c>
      <c r="F132" s="1527" t="str">
        <f>FHD_P_83</f>
        <v/>
      </c>
      <c r="G132" s="1878" t="s">
        <v>307</v>
      </c>
      <c r="H132" s="404"/>
      <c r="I132" s="404"/>
      <c r="J132" s="821"/>
      <c r="K132" s="292" t="str">
        <f>FHD_NOTE_P_83</f>
        <v/>
      </c>
      <c r="L132" s="546"/>
      <c r="AG132" s="1634">
        <v>0</v>
      </c>
    </row>
    <row customHeight="1" ht="18.75" hidden="1">
      <c r="A133" s="2393"/>
      <c r="C133" s="1639" t="s">
        <v>582</v>
      </c>
      <c r="D133" s="1641"/>
      <c r="E133" s="549" t="str">
        <f>FHD_NUM_P_84</f>
        <v/>
      </c>
      <c r="F133" s="1527" t="str">
        <f>FHD_P_84</f>
        <v/>
      </c>
      <c r="G133" s="1878" t="s">
        <v>307</v>
      </c>
      <c r="H133" s="404"/>
      <c r="I133" s="404"/>
      <c r="J133" s="821"/>
      <c r="K133" s="292" t="str">
        <f>FHD_NOTE_P_84</f>
        <v/>
      </c>
      <c r="L133" s="546"/>
      <c r="AG133" s="1634">
        <v>0</v>
      </c>
    </row>
    <row customHeight="1" ht="11.549999999999999">
      <c r="D134" s="1641"/>
      <c r="J134" s="1638"/>
      <c r="AG134" s="1634">
        <v>11</v>
      </c>
    </row>
    <row customHeight="1" ht="13.5">
      <c r="D135" s="1641"/>
      <c r="E135" s="339"/>
      <c r="F135" s="372"/>
      <c r="G135" s="372"/>
      <c r="H135" s="372"/>
      <c r="I135" s="1650"/>
      <c r="J135" s="1689"/>
      <c r="K135" s="584"/>
      <c r="AG135" s="1634">
        <v>13</v>
      </c>
    </row>
    <row s="1644" customFormat="1" customHeight="1" ht="11.549999999999999">
      <c r="A136" s="990"/>
      <c r="B136" s="1639"/>
      <c r="C136" s="1639"/>
      <c r="D136" s="354"/>
      <c r="F136" s="1643"/>
      <c r="G136" s="1634"/>
      <c r="H136" s="1634"/>
      <c r="I136" s="1634"/>
      <c r="J136" s="1638"/>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H139" s="569" t="str">
        <f>IF(H30-H31&lt;&gt;H75,"WARNING","")</f>
        <v/>
      </c>
      <c r="I139" s="569" t="str">
        <f>IF(I30-I31&lt;&gt;I75,"WARNING","")</f>
        <v>WARNING</v>
      </c>
      <c r="J139" s="625" t="str">
        <f>IF(J30-J31&lt;&gt;J75,"WARNING","")</f>
        <v>WARNING</v>
      </c>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549999999999999">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549999999999999">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549999999999999">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549999999999999">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549999999999999">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549999999999999">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549999999999999">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549999999999999">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549999999999999">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549999999999999">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549999999999999">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549999999999999">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549999999999999">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549999999999999">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549999999999999">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549999999999999">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549999999999999">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549999999999999">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549999999999999">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549999999999999">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549999999999999">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549999999999999">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549999999999999">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549999999999999">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549999999999999">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549999999999999">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549999999999999">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549999999999999">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549999999999999">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549999999999999">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549999999999999">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549999999999999">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549999999999999">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549999999999999">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549999999999999">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549999999999999">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549999999999999">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549999999999999">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549999999999999">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549999999999999">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549999999999999">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549999999999999">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549999999999999">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549999999999999">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549999999999999">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549999999999999">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549999999999999">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549999999999999">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549999999999999">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549999999999999">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549999999999999">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549999999999999">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549999999999999">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549999999999999">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549999999999999">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549999999999999">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549999999999999">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549999999999999">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549999999999999">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549999999999999">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549999999999999">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549999999999999">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549999999999999">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549999999999999">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549999999999999">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549999999999999">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549999999999999">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549999999999999">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549999999999999">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549999999999999">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549999999999999">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549999999999999">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549999999999999">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549999999999999">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549999999999999">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549999999999999">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549999999999999">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549999999999999">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549999999999999">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549999999999999">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549999999999999">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549999999999999">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549999999999999">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549999999999999">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s="1644" customFormat="1" customHeight="1" ht="11.549999999999999">
      <c r="A289" s="990"/>
      <c r="B289" s="1639"/>
      <c r="C289" s="1639"/>
      <c r="D289" s="354"/>
      <c r="J289" s="1644"/>
      <c r="L289" s="1163"/>
      <c r="M289" s="1639"/>
      <c r="N289" s="1639"/>
      <c r="O289" s="1163"/>
      <c r="P289" s="1163"/>
      <c r="Q289" s="1163"/>
      <c r="R289" s="1163"/>
      <c r="S289" s="1639"/>
      <c r="T289" s="1163"/>
      <c r="U289" s="1163"/>
      <c r="V289" s="547"/>
      <c r="W289" s="1163"/>
      <c r="X289" s="1163"/>
      <c r="Y289" s="1163"/>
      <c r="Z289" s="1163"/>
      <c r="AA289" s="1163"/>
      <c r="AB289" s="1635"/>
      <c r="AC289" s="569"/>
      <c r="AD289" s="569"/>
      <c r="AE289" s="569"/>
      <c r="AF289" s="569"/>
      <c r="AG289" s="1644">
        <v>11</v>
      </c>
    </row>
    <row s="1644" customFormat="1" customHeight="1" ht="11.549999999999999">
      <c r="A290" s="990"/>
      <c r="B290" s="1639"/>
      <c r="C290" s="1639"/>
      <c r="D290" s="354"/>
      <c r="J290" s="1644"/>
      <c r="L290" s="1163"/>
      <c r="M290" s="1639"/>
      <c r="N290" s="1639"/>
      <c r="O290" s="1163"/>
      <c r="P290" s="1163"/>
      <c r="Q290" s="1163"/>
      <c r="R290" s="1163"/>
      <c r="S290" s="1639"/>
      <c r="T290" s="1163"/>
      <c r="U290" s="1163"/>
      <c r="V290" s="547"/>
      <c r="W290" s="1163"/>
      <c r="X290" s="1163"/>
      <c r="Y290" s="1163"/>
      <c r="Z290" s="1163"/>
      <c r="AA290" s="1163"/>
      <c r="AB290" s="1635"/>
      <c r="AC290" s="569"/>
      <c r="AD290" s="569"/>
      <c r="AE290" s="569"/>
      <c r="AF290" s="569"/>
      <c r="AG290" s="1644">
        <v>11</v>
      </c>
    </row>
    <row s="1644" customFormat="1" customHeight="1" ht="11.549999999999999">
      <c r="A291" s="990"/>
      <c r="B291" s="1639"/>
      <c r="C291" s="1639"/>
      <c r="D291" s="354"/>
      <c r="J291" s="1644"/>
      <c r="L291" s="1163"/>
      <c r="M291" s="1639"/>
      <c r="N291" s="1639"/>
      <c r="O291" s="1163"/>
      <c r="P291" s="1163"/>
      <c r="Q291" s="1163"/>
      <c r="R291" s="1163"/>
      <c r="S291" s="1639"/>
      <c r="T291" s="1163"/>
      <c r="U291" s="1163"/>
      <c r="V291" s="547"/>
      <c r="W291" s="1163"/>
      <c r="X291" s="1163"/>
      <c r="Y291" s="1163"/>
      <c r="Z291" s="1163"/>
      <c r="AA291" s="1163"/>
      <c r="AB291" s="1635"/>
      <c r="AC291" s="569"/>
      <c r="AD291" s="569"/>
      <c r="AE291" s="569"/>
      <c r="AF291" s="569"/>
      <c r="AG291" s="1644">
        <v>11</v>
      </c>
    </row>
    <row customHeight="1" ht="11.549999999999999">
      <c r="J292" s="1638"/>
      <c r="AG292" s="1634">
        <v>11</v>
      </c>
    </row>
    <row customHeight="1" ht="11.549999999999999">
      <c r="J293" s="1638"/>
      <c r="AG293" s="1634">
        <v>11</v>
      </c>
    </row>
    <row customHeight="1" ht="11.549999999999999">
      <c r="J294" s="1638"/>
      <c r="AG294" s="1634">
        <v>11</v>
      </c>
    </row>
    <row customHeight="1" ht="11.549999999999999">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549999999999999">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549999999999999">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549999999999999">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549999999999999">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549999999999999">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549999999999999">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549999999999999">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549999999999999">
      <c r="A303" s="993"/>
      <c r="B303" s="1634"/>
      <c r="D303" s="1634"/>
      <c r="J303" s="1638"/>
      <c r="L303" s="1634"/>
      <c r="O303" s="1634"/>
      <c r="P303" s="1634"/>
      <c r="Q303" s="1634"/>
      <c r="R303" s="1634"/>
      <c r="T303" s="1634"/>
      <c r="U303" s="1634"/>
      <c r="V303" s="1634"/>
      <c r="W303" s="1634"/>
      <c r="X303" s="1634"/>
      <c r="Y303" s="1634"/>
      <c r="Z303" s="1634"/>
      <c r="AA303" s="1634"/>
      <c r="AB303" s="1634"/>
      <c r="AC303" s="1634"/>
      <c r="AD303" s="1634"/>
      <c r="AE303" s="1634"/>
      <c r="AF303" s="1634"/>
      <c r="AG303" s="1634">
        <v>11</v>
      </c>
    </row>
    <row customHeight="1" ht="11.549999999999999">
      <c r="A304" s="993"/>
      <c r="B304" s="1634"/>
      <c r="D304" s="1634"/>
      <c r="J304" s="1638"/>
      <c r="L304" s="1634"/>
      <c r="O304" s="1634"/>
      <c r="P304" s="1634"/>
      <c r="Q304" s="1634"/>
      <c r="R304" s="1634"/>
      <c r="T304" s="1634"/>
      <c r="U304" s="1634"/>
      <c r="V304" s="1634"/>
      <c r="W304" s="1634"/>
      <c r="X304" s="1634"/>
      <c r="Y304" s="1634"/>
      <c r="Z304" s="1634"/>
      <c r="AA304" s="1634"/>
      <c r="AB304" s="1634"/>
      <c r="AC304" s="1634"/>
      <c r="AD304" s="1634"/>
      <c r="AE304" s="1634"/>
      <c r="AF304" s="1634"/>
      <c r="AG304" s="1634">
        <v>11</v>
      </c>
    </row>
    <row customHeight="1" ht="11.549999999999999">
      <c r="A305" s="993"/>
      <c r="B305" s="1634"/>
      <c r="D305" s="1634"/>
      <c r="J305" s="1638"/>
      <c r="L305" s="1634"/>
      <c r="O305" s="1634"/>
      <c r="P305" s="1634"/>
      <c r="Q305" s="1634"/>
      <c r="R305" s="1634"/>
      <c r="T305" s="1634"/>
      <c r="U305" s="1634"/>
      <c r="V305" s="1634"/>
      <c r="W305" s="1634"/>
      <c r="X305" s="1634"/>
      <c r="Y305" s="1634"/>
      <c r="Z305" s="1634"/>
      <c r="AA305" s="1634"/>
      <c r="AB305" s="1634"/>
      <c r="AC305" s="1634"/>
      <c r="AD305" s="1634"/>
      <c r="AE305" s="1634"/>
      <c r="AF305" s="1634"/>
      <c r="AG305" s="1634">
        <v>11</v>
      </c>
    </row>
    <row customHeight="1" ht="11.25" hidden="1">
      <c r="A306" s="990" t="s">
        <v>82</v>
      </c>
      <c r="B306" s="1163">
        <v>0</v>
      </c>
      <c r="C306" s="1639">
        <v>0</v>
      </c>
      <c r="D306" s="1638">
        <v>3</v>
      </c>
      <c r="E306" s="1634">
        <v>7</v>
      </c>
      <c r="F306" s="1634">
        <v>54</v>
      </c>
      <c r="G306" s="1634">
        <v>10</v>
      </c>
      <c r="H306" s="1634">
        <v>0</v>
      </c>
      <c r="I306" s="1634">
        <v>40</v>
      </c>
      <c r="J306" s="1638">
        <v>0</v>
      </c>
      <c r="K306" s="1634">
        <v>102</v>
      </c>
      <c r="L306" s="1163">
        <v>9</v>
      </c>
      <c r="M306" s="1639">
        <v>5</v>
      </c>
      <c r="N306" s="1639">
        <v>3</v>
      </c>
      <c r="O306" s="1163">
        <v>3</v>
      </c>
      <c r="P306" s="1163">
        <v>3</v>
      </c>
      <c r="Q306" s="1163">
        <v>3</v>
      </c>
      <c r="R306" s="1163">
        <v>3</v>
      </c>
      <c r="S306" s="1639">
        <v>10</v>
      </c>
      <c r="T306" s="1163">
        <v>34</v>
      </c>
      <c r="U306" s="1163">
        <v>9</v>
      </c>
      <c r="V306" s="547">
        <v>8</v>
      </c>
      <c r="W306" s="1163">
        <v>8</v>
      </c>
      <c r="X306" s="1163">
        <v>8</v>
      </c>
      <c r="Y306" s="1163">
        <v>8</v>
      </c>
      <c r="Z306" s="1163">
        <v>8</v>
      </c>
      <c r="AA306" s="1163">
        <v>8</v>
      </c>
      <c r="AB306" s="1635">
        <v>8</v>
      </c>
      <c r="AC306" s="1635">
        <v>8</v>
      </c>
      <c r="AD306" s="1635">
        <v>8</v>
      </c>
      <c r="AE306" s="1635">
        <v>8</v>
      </c>
      <c r="AF306" s="1635">
        <v>8</v>
      </c>
      <c r="AG306" s="1634">
        <v>11</v>
      </c>
    </row>
  </sheetData>
  <sheetProtection formatColumns="0" formatRows="0" autoFilter="0" sort="0" insertRows="0" insertColumns="1" deleteRows="0" deleteColumns="0"/>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3:J93 H98:J98">
      <formula1>0</formula1>
      <formula2>100</formula2>
    </dataValidation>
    <dataValidation type="decimal" allowBlank="1" showErrorMessage="1" errorTitle="Ошибка" error="Допускается ввод только действительных чисел!" sqref="H126:J126 H123:J123 H129:J129 H78:J83 H107:J107">
      <formula1>-9.99999999999999E+37</formula1>
      <formula2>9.99999999999999E+37</formula2>
    </dataValidation>
    <dataValidation type="decimal" allowBlank="1" showErrorMessage="1" errorTitle="Ошибка" error="Допускается ввод только действительных чисел!" sqref="H75:J7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J133 H84:J84">
      <formula1>900</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4:J97 H130:J130 H30:J30 H32:J33 H35:J38 H40:J65 H85:J89 H17:J17 H9:J13 H15:J15 H4:J6 H77:J77 H91:J92 H99:J106 H108:J122 H71:H73 I71:I73 J71:J73">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0 I70 H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hyperlinks>
    <hyperlink ref="I84" r:id="rId1" xr:uid="{.F440797-CEEC-6D92-8D4F-0.07C3A5D2}"/>
    <hyperlink ref="J84" r:id="rId2" xr:uid="{9446A772-19E9-4CEA-1321-0.8CA4532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9DD88-CB1A-8C6F-8A38-0.3040E47F}"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9"/>
      <c r="G5" s="2259"/>
      <c r="H5" s="2259"/>
      <c r="I5" s="2259"/>
      <c r="J5" s="2259"/>
      <c r="K5" s="2259"/>
      <c r="L5" s="616"/>
      <c r="M5" s="616"/>
      <c r="CF5" s="508">
        <v>28</v>
      </c>
    </row>
    <row s="1638" customFormat="1" customHeight="1" ht="16.8">
      <c r="A6" s="613"/>
      <c r="B6" s="762"/>
      <c r="C6" s="512"/>
      <c r="D6" s="1061"/>
      <c r="E6" s="2198" t="str">
        <f>IF(org=0,"Не определено",org)</f>
        <v>АО "Водоканал"</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301</v>
      </c>
      <c r="F9" s="2124"/>
      <c r="G9" s="2124"/>
      <c r="H9" s="2124"/>
      <c r="I9" s="2124"/>
      <c r="J9" s="2124"/>
      <c r="K9" s="2124"/>
      <c r="L9" s="2124"/>
      <c r="M9" s="2124"/>
      <c r="N9" s="2124"/>
      <c r="O9" s="2124"/>
      <c r="P9" s="2124"/>
      <c r="Q9" s="2124"/>
      <c r="R9" s="2125"/>
      <c r="S9" s="2149" t="s">
        <v>302</v>
      </c>
      <c r="T9" s="337"/>
      <c r="CF9" s="508">
        <v>19</v>
      </c>
    </row>
    <row customHeight="1" ht="48.29999999999999">
      <c r="D10" s="554" t="s">
        <v>88</v>
      </c>
      <c r="E10" s="2149" t="s">
        <v>88</v>
      </c>
      <c r="F10" s="2149"/>
      <c r="G10" s="524" t="s">
        <v>303</v>
      </c>
      <c r="H10" s="2149" t="s">
        <v>88</v>
      </c>
      <c r="I10" s="2149"/>
      <c r="J10" s="524" t="s">
        <v>605</v>
      </c>
      <c r="K10" s="524" t="s">
        <v>606</v>
      </c>
      <c r="L10" s="2149" t="s">
        <v>88</v>
      </c>
      <c r="M10" s="2149"/>
      <c r="N10" s="524" t="s">
        <v>607</v>
      </c>
      <c r="O10" s="524" t="s">
        <v>608</v>
      </c>
      <c r="P10" s="524" t="s">
        <v>609</v>
      </c>
      <c r="Q10" s="524" t="s">
        <v>610</v>
      </c>
      <c r="R10" s="524" t="s">
        <v>611</v>
      </c>
      <c r="S10" s="2149"/>
      <c r="T10" s="337"/>
      <c r="CF10" s="508">
        <v>46</v>
      </c>
    </row>
    <row s="1645" customFormat="1" customHeight="1" ht="15">
      <c r="A11" s="1055"/>
      <c r="D11" s="1028" t="s">
        <v>99</v>
      </c>
      <c r="E11" s="1028"/>
      <c r="F11" s="1028" t="s">
        <v>109</v>
      </c>
      <c r="G11" s="1028" t="s">
        <v>90</v>
      </c>
      <c r="H11" s="1028"/>
      <c r="I11" s="1028" t="s">
        <v>91</v>
      </c>
      <c r="J11" s="1028" t="s">
        <v>110</v>
      </c>
      <c r="K11" s="1028" t="s">
        <v>92</v>
      </c>
      <c r="L11" s="1028"/>
      <c r="M11" s="1028" t="s">
        <v>93</v>
      </c>
      <c r="N11" s="1028" t="s">
        <v>111</v>
      </c>
      <c r="O11" s="1028" t="s">
        <v>151</v>
      </c>
      <c r="P11" s="1028" t="s">
        <v>152</v>
      </c>
      <c r="Q11" s="1028" t="s">
        <v>153</v>
      </c>
      <c r="R11" s="1028" t="s">
        <v>154</v>
      </c>
      <c r="S11" s="1028" t="s">
        <v>155</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377</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116</v>
      </c>
      <c r="B14" s="627"/>
      <c r="C14" s="627"/>
      <c r="D14" s="2402" t="s">
        <v>99</v>
      </c>
      <c r="E14" s="2399" t="s">
        <v>105</v>
      </c>
      <c r="F14" s="2400"/>
      <c r="G14" s="2401"/>
      <c r="H14" s="2405" t="str">
        <f>IF(A14="","",INDEX(DIFFERENTIATION_UNMERGE_VD,MATCH(A14,DIFFERENTIATION_ID_DIFF,0)))</f>
        <v>Холодное водоснабжение. Питьевая вода</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612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563</v>
      </c>
      <c r="F15" s="2400"/>
      <c r="G15" s="2401"/>
      <c r="H15" s="2405" t="str">
        <f>IF(A14="","",INDEX(DIFFERENTIATION_UNMERGE_AREA,MATCH(A14,DIFFERENTIATION_ID_DIFF,0)))</f>
        <v>без дифференциации</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564</v>
      </c>
      <c r="F16" s="2400"/>
      <c r="G16" s="2401"/>
      <c r="H16" s="2405" t="str">
        <f>IF(A14="","",INDEX(DIFFERENTIATION_UNMERGE_SYSTEM,MATCH(A14,DIFFERENTIATION_ID_DIFF,0)))</f>
        <v>без дифференциации</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613</v>
      </c>
      <c r="F17" s="2398"/>
      <c r="G17" s="2398"/>
      <c r="H17" s="2398"/>
      <c r="I17" s="2398"/>
      <c r="J17" s="2398"/>
      <c r="K17" s="2398"/>
      <c r="L17" s="2398"/>
      <c r="M17" s="2398"/>
      <c r="N17" s="2398"/>
      <c r="O17" s="2398"/>
      <c r="P17" s="2398"/>
      <c r="Q17" s="561">
        <f>SUMIF(T18:T19,"i",Q18:Q19)</f>
        <v>0</v>
      </c>
      <c r="R17" s="1020"/>
      <c r="S17" s="900" t="s">
        <v>614</v>
      </c>
      <c r="T17" s="720" t="s">
        <v>615</v>
      </c>
      <c r="U17" s="2396">
        <v>1</v>
      </c>
      <c r="V17" s="2396" t="str">
        <f>INDEX(B_FHD_FLAG_INDEX_1,1,MATCH(A14,B_FHD_FLAG_DIFFERENTIATION,0))</f>
        <v>отсутствует</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3"/>
      <c r="E19" s="652" t="s">
        <v>22</v>
      </c>
      <c r="F19" s="653" t="s">
        <v>22</v>
      </c>
      <c r="G19" s="653" t="s">
        <v>22</v>
      </c>
      <c r="H19" s="654" t="s">
        <v>22</v>
      </c>
      <c r="I19" s="654"/>
      <c r="J19" s="654"/>
      <c r="K19" s="654"/>
      <c r="L19" s="654"/>
      <c r="M19" s="654"/>
      <c r="N19" s="654"/>
      <c r="O19" s="654"/>
      <c r="P19" s="654"/>
      <c r="Q19" s="654"/>
      <c r="R19" s="655"/>
      <c r="S19" s="1023"/>
      <c r="T19" s="721"/>
      <c r="U19" s="2396"/>
      <c r="V19" s="2396"/>
      <c r="W19" s="420"/>
      <c r="X19" s="420"/>
      <c r="Y19" s="420"/>
      <c r="Z19" s="420"/>
      <c r="AA19" s="514"/>
      <c r="AB19" s="420"/>
      <c r="AC19" s="239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3"/>
      <c r="E20" s="2398" t="s">
        <v>616</v>
      </c>
      <c r="F20" s="2398"/>
      <c r="G20" s="2398"/>
      <c r="H20" s="2398"/>
      <c r="I20" s="2398"/>
      <c r="J20" s="2398"/>
      <c r="K20" s="2398"/>
      <c r="L20" s="2398"/>
      <c r="M20" s="2398"/>
      <c r="N20" s="2398"/>
      <c r="O20" s="2398"/>
      <c r="P20" s="2398"/>
      <c r="Q20" s="561">
        <f>SUMIF(T21:T22,"i",Q21:Q22)</f>
        <v>0</v>
      </c>
      <c r="R20" s="1020"/>
      <c r="S20" s="712" t="s">
        <v>617</v>
      </c>
      <c r="T20" s="720" t="s">
        <v>615</v>
      </c>
      <c r="U20" s="2396">
        <v>2</v>
      </c>
      <c r="V20" s="239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3"/>
      <c r="E21" s="638"/>
      <c r="F21" s="638">
        <v>0</v>
      </c>
      <c r="G21" s="638"/>
      <c r="H21" s="638"/>
      <c r="I21" s="638"/>
      <c r="J21" s="638"/>
      <c r="K21" s="638"/>
      <c r="L21" s="638"/>
      <c r="M21" s="638"/>
      <c r="N21" s="638"/>
      <c r="O21" s="638"/>
      <c r="P21" s="638"/>
      <c r="Q21" s="638"/>
      <c r="R21" s="638"/>
      <c r="S21" s="639"/>
      <c r="T21" s="721"/>
      <c r="U21" s="2396"/>
      <c r="V21" s="239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4"/>
      <c r="E22" s="652" t="s">
        <v>22</v>
      </c>
      <c r="F22" s="653" t="s">
        <v>22</v>
      </c>
      <c r="G22" s="653" t="s">
        <v>22</v>
      </c>
      <c r="H22" s="654" t="s">
        <v>22</v>
      </c>
      <c r="I22" s="654"/>
      <c r="J22" s="654"/>
      <c r="K22" s="654"/>
      <c r="L22" s="654"/>
      <c r="M22" s="654"/>
      <c r="N22" s="654"/>
      <c r="O22" s="654"/>
      <c r="P22" s="654"/>
      <c r="Q22" s="654"/>
      <c r="R22" s="655"/>
      <c r="S22" s="1023"/>
      <c r="T22" s="721"/>
      <c r="U22" s="2396"/>
      <c r="V22" s="239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122</v>
      </c>
      <c r="B23" s="627"/>
      <c r="C23" s="627" t="s">
        <v>22</v>
      </c>
      <c r="D23" s="2600" t="s">
        <v>153</v>
      </c>
      <c r="E23" s="2399" t="s">
        <v>105</v>
      </c>
      <c r="F23" s="2400"/>
      <c r="G23" s="2401"/>
      <c r="H23" s="2405" t="str">
        <f>IF(A23="","",INDEX(DIFFERENTIATION_UNMERGE_VD,MATCH(A23,DIFFERENTIATION_ID_DIFF,0)))</f>
        <v>Подключение (технологическое присоединение) к централизованной системе водоснабжения</v>
      </c>
      <c r="I23" s="2405"/>
      <c r="J23" s="2405"/>
      <c r="K23" s="2405"/>
      <c r="L23" s="2405"/>
      <c r="M23" s="2405"/>
      <c r="N23" s="2405"/>
      <c r="O23" s="2405"/>
      <c r="P23" s="2405"/>
      <c r="Q23" s="2405"/>
      <c r="R23" s="2405"/>
      <c r="S23" s="722"/>
      <c r="T23" s="719"/>
      <c r="U23" s="628"/>
      <c r="V23" s="628"/>
      <c r="W23" s="629"/>
      <c r="X23" s="629"/>
      <c r="Y23" s="629"/>
      <c r="Z23" s="629"/>
      <c r="AA23" s="630"/>
      <c r="AB23" s="631"/>
      <c r="AC23" s="2397"/>
      <c r="AD23" s="632"/>
      <c r="AE23" s="633" t="s">
        <v>22</v>
      </c>
      <c r="AF23" s="633"/>
      <c r="AG23" s="634" t="s">
        <v>612</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0"/>
    </row>
    <row customHeight="1" ht="15" hidden="1">
      <c r="A24" s="626"/>
      <c r="B24" s="627"/>
      <c r="C24" s="627"/>
      <c r="D24" s="2601"/>
      <c r="E24" s="2399" t="s">
        <v>563</v>
      </c>
      <c r="F24" s="2400"/>
      <c r="G24" s="2401"/>
      <c r="H24" s="2405" t="str">
        <f>IF(A23="","",INDEX(DIFFERENTIATION_UNMERGE_AREA,MATCH(A23,DIFFERENTIATION_ID_DIFF,0)))</f>
        <v>без дифференциации</v>
      </c>
      <c r="I24" s="2405"/>
      <c r="J24" s="2405"/>
      <c r="K24" s="2405"/>
      <c r="L24" s="2405"/>
      <c r="M24" s="2405"/>
      <c r="N24" s="2405"/>
      <c r="O24" s="2405"/>
      <c r="P24" s="2405"/>
      <c r="Q24" s="2405"/>
      <c r="R24" s="2405"/>
      <c r="S24" s="722"/>
      <c r="T24" s="719"/>
      <c r="U24" s="628"/>
      <c r="V24" s="628"/>
      <c r="W24" s="629"/>
      <c r="X24" s="629"/>
      <c r="Y24" s="629"/>
      <c r="Z24" s="629"/>
      <c r="AA24" s="630"/>
      <c r="AB24" s="631"/>
      <c r="AC24" s="2397"/>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0"/>
    </row>
    <row customHeight="1" ht="15" hidden="1">
      <c r="A25" s="626"/>
      <c r="B25" s="627"/>
      <c r="C25" s="627"/>
      <c r="D25" s="2601"/>
      <c r="E25" s="2399" t="s">
        <v>564</v>
      </c>
      <c r="F25" s="2400"/>
      <c r="G25" s="2401"/>
      <c r="H25" s="2405" t="str">
        <f>IF(A23="","",INDEX(DIFFERENTIATION_UNMERGE_SYSTEM,MATCH(A23,DIFFERENTIATION_ID_DIFF,0)))</f>
        <v>без дифференциации</v>
      </c>
      <c r="I25" s="2405"/>
      <c r="J25" s="2405"/>
      <c r="K25" s="2405"/>
      <c r="L25" s="2405"/>
      <c r="M25" s="2405"/>
      <c r="N25" s="2405"/>
      <c r="O25" s="2405"/>
      <c r="P25" s="2405"/>
      <c r="Q25" s="2405"/>
      <c r="R25" s="2405"/>
      <c r="S25" s="722"/>
      <c r="T25" s="719"/>
      <c r="U25" s="628"/>
      <c r="V25" s="628"/>
      <c r="W25" s="629"/>
      <c r="X25" s="629"/>
      <c r="Y25" s="629"/>
      <c r="Z25" s="629"/>
      <c r="AA25" s="630"/>
      <c r="AB25" s="631"/>
      <c r="AC25" s="2397"/>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0"/>
    </row>
    <row customHeight="1" ht="24.75" hidden="1">
      <c r="A26" s="1808"/>
      <c r="B26" s="1163"/>
      <c r="C26" s="415"/>
      <c r="D26" s="2601"/>
      <c r="E26" s="2398" t="s">
        <v>613</v>
      </c>
      <c r="F26" s="2398"/>
      <c r="G26" s="2398"/>
      <c r="H26" s="2398"/>
      <c r="I26" s="2398"/>
      <c r="J26" s="2398"/>
      <c r="K26" s="2398"/>
      <c r="L26" s="2398"/>
      <c r="M26" s="2398"/>
      <c r="N26" s="2398"/>
      <c r="O26" s="2398"/>
      <c r="P26" s="2398"/>
      <c r="Q26" s="561">
        <f>SUMIF(T27:T28,"i",Q27:Q28)</f>
        <v>0</v>
      </c>
      <c r="R26" s="1020"/>
      <c r="S26" s="1800" t="s">
        <v>614</v>
      </c>
      <c r="T26" s="720" t="s">
        <v>615</v>
      </c>
      <c r="U26" s="2396">
        <v>1</v>
      </c>
      <c r="V26" s="2396" t="str">
        <f>INDEX(B_FHD_FLAG_INDEX_1,1,MATCH(A23,B_FHD_FLAG_DIFFERENTIATION,0))</f>
        <v>отсутствует</v>
      </c>
      <c r="W26" s="1163"/>
      <c r="X26" s="1163"/>
      <c r="Y26" s="1163"/>
      <c r="Z26" s="1163"/>
      <c r="AA26" s="1639"/>
      <c r="AB26" s="1163"/>
      <c r="AC26" s="2397"/>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0"/>
    </row>
    <row customHeight="1" ht="11.25" hidden="1">
      <c r="A27" s="1795"/>
      <c r="B27" s="1639"/>
      <c r="C27" s="1639"/>
      <c r="D27" s="2601"/>
      <c r="E27" s="638"/>
      <c r="F27" s="638">
        <v>0</v>
      </c>
      <c r="G27" s="638"/>
      <c r="H27" s="638"/>
      <c r="I27" s="638"/>
      <c r="J27" s="638"/>
      <c r="K27" s="638"/>
      <c r="L27" s="638"/>
      <c r="M27" s="638"/>
      <c r="N27" s="638"/>
      <c r="O27" s="638"/>
      <c r="P27" s="638"/>
      <c r="Q27" s="638"/>
      <c r="R27" s="638"/>
      <c r="S27" s="639"/>
      <c r="T27" s="721"/>
      <c r="U27" s="2396"/>
      <c r="V27" s="2396"/>
      <c r="W27" s="1639"/>
      <c r="X27" s="1639"/>
      <c r="Y27" s="1639"/>
      <c r="Z27" s="1639"/>
      <c r="AA27" s="1639"/>
      <c r="AB27" s="1163"/>
      <c r="AC27" s="2397"/>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0"/>
    </row>
    <row customHeight="1" ht="11.25" hidden="1">
      <c r="A28" s="1808"/>
      <c r="B28" s="1163"/>
      <c r="C28" s="415"/>
      <c r="D28" s="2601"/>
      <c r="E28" s="652" t="s">
        <v>22</v>
      </c>
      <c r="F28" s="1171" t="s">
        <v>22</v>
      </c>
      <c r="G28" s="1171" t="s">
        <v>618</v>
      </c>
      <c r="H28" s="654" t="s">
        <v>22</v>
      </c>
      <c r="I28" s="654"/>
      <c r="J28" s="654"/>
      <c r="K28" s="654"/>
      <c r="L28" s="654"/>
      <c r="M28" s="654"/>
      <c r="N28" s="654"/>
      <c r="O28" s="654"/>
      <c r="P28" s="654"/>
      <c r="Q28" s="654"/>
      <c r="R28" s="655"/>
      <c r="S28" s="656"/>
      <c r="T28" s="721"/>
      <c r="U28" s="2396"/>
      <c r="V28" s="2396"/>
      <c r="W28" s="1163"/>
      <c r="X28" s="1163"/>
      <c r="Y28" s="1163"/>
      <c r="Z28" s="1163"/>
      <c r="AA28" s="1639"/>
      <c r="AB28" s="1163"/>
      <c r="AC28" s="2397"/>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0"/>
    </row>
    <row customHeight="1" ht="24.75" hidden="1">
      <c r="A29" s="1808"/>
      <c r="B29" s="1163"/>
      <c r="C29" s="415"/>
      <c r="D29" s="2601"/>
      <c r="E29" s="2398" t="s">
        <v>616</v>
      </c>
      <c r="F29" s="2398"/>
      <c r="G29" s="2398"/>
      <c r="H29" s="2398"/>
      <c r="I29" s="2398"/>
      <c r="J29" s="2398"/>
      <c r="K29" s="2398"/>
      <c r="L29" s="2398"/>
      <c r="M29" s="2398"/>
      <c r="N29" s="2398"/>
      <c r="O29" s="2398"/>
      <c r="P29" s="2398"/>
      <c r="Q29" s="561">
        <f>SUMIF(T30:T31,"i",Q30:Q31)</f>
        <v>0</v>
      </c>
      <c r="R29" s="1020"/>
      <c r="S29" s="1800" t="s">
        <v>617</v>
      </c>
      <c r="T29" s="720" t="s">
        <v>615</v>
      </c>
      <c r="U29" s="2396">
        <v>1</v>
      </c>
      <c r="V29" s="2396" t="str">
        <f>INDEX(B_FHD_FLAG_INDEX_2,1,MATCH(A23,B_FHD_FLAG_DIFFERENTIATION,0))</f>
        <v>отсутствует</v>
      </c>
      <c r="W29" s="1163"/>
      <c r="X29" s="1163"/>
      <c r="Y29" s="1163"/>
      <c r="Z29" s="1163"/>
      <c r="AA29" s="1639"/>
      <c r="AB29" s="1163"/>
      <c r="AC29" s="1798"/>
      <c r="AD29" s="632"/>
      <c r="AE29" s="1163"/>
      <c r="AF29" s="1163"/>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163"/>
      <c r="BW29" s="1163"/>
      <c r="BX29" s="1163"/>
      <c r="BY29" s="1163"/>
      <c r="BZ29" s="1163"/>
      <c r="CA29" s="1163"/>
      <c r="CB29" s="1163"/>
      <c r="CC29" s="1163"/>
      <c r="CD29" s="1163"/>
      <c r="CE29" s="1163"/>
      <c r="CF29" s="1850"/>
    </row>
    <row customHeight="1" ht="11.25" hidden="1">
      <c r="A30" s="1795"/>
      <c r="B30" s="1639"/>
      <c r="C30" s="1639"/>
      <c r="D30" s="2601"/>
      <c r="E30" s="638"/>
      <c r="F30" s="638">
        <v>0</v>
      </c>
      <c r="G30" s="638"/>
      <c r="H30" s="638"/>
      <c r="I30" s="638"/>
      <c r="J30" s="638"/>
      <c r="K30" s="638"/>
      <c r="L30" s="638"/>
      <c r="M30" s="638"/>
      <c r="N30" s="638"/>
      <c r="O30" s="638"/>
      <c r="P30" s="638"/>
      <c r="Q30" s="638"/>
      <c r="R30" s="638"/>
      <c r="S30" s="639"/>
      <c r="T30" s="721"/>
      <c r="U30" s="2396"/>
      <c r="V30" s="2396"/>
      <c r="W30" s="1639"/>
      <c r="X30" s="1639"/>
      <c r="Y30" s="1639"/>
      <c r="Z30" s="1639"/>
      <c r="AA30" s="1639"/>
      <c r="AB30" s="1163"/>
      <c r="AC30" s="1798"/>
      <c r="AD30" s="632"/>
      <c r="AE30" s="1163"/>
      <c r="AF30" s="1163"/>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850"/>
    </row>
    <row customHeight="1" ht="11.25" hidden="1">
      <c r="A31" s="1808"/>
      <c r="B31" s="1163"/>
      <c r="C31" s="415"/>
      <c r="D31" s="2602"/>
      <c r="E31" s="652" t="s">
        <v>22</v>
      </c>
      <c r="F31" s="1171" t="s">
        <v>22</v>
      </c>
      <c r="G31" s="1171" t="s">
        <v>618</v>
      </c>
      <c r="H31" s="654" t="s">
        <v>22</v>
      </c>
      <c r="I31" s="654"/>
      <c r="J31" s="654"/>
      <c r="K31" s="654"/>
      <c r="L31" s="654"/>
      <c r="M31" s="654"/>
      <c r="N31" s="654"/>
      <c r="O31" s="654"/>
      <c r="P31" s="654"/>
      <c r="Q31" s="654"/>
      <c r="R31" s="655"/>
      <c r="S31" s="656"/>
      <c r="T31" s="721"/>
      <c r="U31" s="2396"/>
      <c r="V31" s="2396"/>
      <c r="W31" s="1163"/>
      <c r="X31" s="1163"/>
      <c r="Y31" s="1163"/>
      <c r="Z31" s="1163"/>
      <c r="AA31" s="1639"/>
      <c r="AB31" s="1163"/>
      <c r="AC31" s="1798"/>
      <c r="AD31" s="632"/>
      <c r="AE31" s="1163"/>
      <c r="AF31" s="1163"/>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163"/>
      <c r="BW31" s="1163"/>
      <c r="BX31" s="1163"/>
      <c r="BY31" s="1163"/>
      <c r="BZ31" s="1163"/>
      <c r="CA31" s="1163"/>
      <c r="CB31" s="1163"/>
      <c r="CC31" s="1163"/>
      <c r="CD31" s="1163"/>
      <c r="CE31" s="1163"/>
      <c r="CF31" s="1850"/>
    </row>
    <row customHeight="1" ht="19.95">
      <c r="D32" s="1050"/>
      <c r="E32" s="1050"/>
      <c r="F32" s="1050"/>
      <c r="G32" s="1050"/>
      <c r="H32" s="1050"/>
      <c r="I32" s="1050"/>
      <c r="J32" s="1050"/>
      <c r="K32" s="1050"/>
      <c r="L32" s="1050"/>
      <c r="M32" s="1050"/>
      <c r="N32" s="1050"/>
      <c r="O32" s="1050"/>
      <c r="P32" s="1050"/>
      <c r="Q32" s="1050"/>
      <c r="R32" s="1050"/>
      <c r="S32" s="1050"/>
      <c r="T32" s="337"/>
      <c r="CF32" s="508">
        <v>19</v>
      </c>
    </row>
    <row customHeight="1" ht="11.549999999999999">
      <c r="D33" s="512"/>
      <c r="CF33" s="508">
        <v>11</v>
      </c>
    </row>
    <row customHeight="1" ht="11.549999999999999">
      <c r="D34" s="657"/>
      <c r="E34" s="657"/>
      <c r="F34" s="657"/>
      <c r="G34" s="658"/>
      <c r="CF34" s="508">
        <v>11</v>
      </c>
    </row>
    <row customHeight="1" ht="11.549999999999999">
      <c r="CF35" s="508">
        <v>11</v>
      </c>
    </row>
    <row customHeight="1" ht="11.549999999999999">
      <c r="D36" s="659"/>
      <c r="E36" s="2406"/>
      <c r="F36" s="2406"/>
      <c r="G36" s="2406"/>
      <c r="H36" s="2406"/>
      <c r="I36" s="2406"/>
      <c r="J36" s="2406"/>
      <c r="K36" s="2406"/>
      <c r="L36" s="2406"/>
      <c r="M36" s="2406"/>
      <c r="N36" s="2406"/>
      <c r="O36" s="2406"/>
      <c r="P36" s="2406"/>
      <c r="Q36" s="2406"/>
      <c r="R36" s="2406"/>
      <c r="CF36" s="508">
        <v>11</v>
      </c>
    </row>
    <row customHeight="1" ht="11.549999999999999">
      <c r="F37" s="761"/>
      <c r="G37" s="761"/>
      <c r="CF37" s="508">
        <v>11</v>
      </c>
    </row>
    <row customHeight="1" ht="11.25" hidden="1">
      <c r="A38" s="613" t="s">
        <v>82</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B2534-3576-B96D-C793-0.2A16FBB3}"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3" t="s">
        <v>619</v>
      </c>
      <c r="C2" s="2053" t="s">
        <v>620</v>
      </c>
      <c r="D2" s="2052" t="s">
        <v>621</v>
      </c>
      <c r="E2" s="2056">
        <f>RIGHT(I2,LEN(I2)-SEARCH("#",SUBSTITUTE(I2,".","#",LEN(I2)-LEN(SUBSTITUTE(I2,".","")))))</f>
      </c>
      <c r="F2" s="2058">
        <f>J2</f>
        <v>0</v>
      </c>
      <c r="G2" s="1639"/>
      <c r="H2" s="2059"/>
      <c r="I2" s="2049"/>
      <c r="J2" s="543"/>
      <c r="K2" s="2019" t="s">
        <v>555</v>
      </c>
      <c r="L2" s="754"/>
      <c r="M2" s="754"/>
      <c r="N2" s="754"/>
      <c r="O2" s="546"/>
      <c r="P2" s="1528" t="s">
        <v>556</v>
      </c>
      <c r="Q2" s="546"/>
      <c r="R2" s="1639"/>
      <c r="S2" s="1639"/>
      <c r="X2" s="1639"/>
      <c r="AA2" s="547"/>
      <c r="AG2" s="1635"/>
      <c r="AH2" s="1635"/>
      <c r="AI2" s="1635"/>
      <c r="AJ2" s="1635"/>
      <c r="AK2" s="1635"/>
      <c r="AL2" s="1369">
        <v>0</v>
      </c>
    </row>
    <row customHeight="1" ht="11.25" hidden="1">
      <c r="E3" s="2051" t="s">
        <v>622</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549999999999999">
      <c r="N5" s="1638"/>
      <c r="AL5" s="1634">
        <v>11</v>
      </c>
    </row>
    <row customHeight="1" ht="57.75">
      <c r="I6" s="2329" t="s">
        <v>623</v>
      </c>
      <c r="J6" s="2329"/>
      <c r="K6" s="2329"/>
      <c r="L6" s="2329"/>
      <c r="M6" s="2329"/>
      <c r="N6" s="2329"/>
      <c r="P6" s="559"/>
      <c r="AL6" s="1634">
        <v>55</v>
      </c>
    </row>
    <row customHeight="1" ht="25.2">
      <c r="I7" s="2271" t="str">
        <f>IF(org=0,"Не определено",org)</f>
        <v>АО "Водоканал"</v>
      </c>
      <c r="J7" s="2271"/>
      <c r="K7" s="2271"/>
      <c r="L7" s="2271"/>
      <c r="M7" s="2271"/>
      <c r="N7" s="2271"/>
      <c r="AL7" s="1634">
        <v>24</v>
      </c>
    </row>
    <row customHeight="1" ht="11.549999999999999">
      <c r="I8" s="1138"/>
      <c r="J8" s="1138"/>
      <c r="K8" s="1138"/>
      <c r="L8" s="1138"/>
      <c r="M8" s="1138"/>
      <c r="N8" s="1139" t="s">
        <v>22</v>
      </c>
      <c r="AL8" s="1634">
        <v>11</v>
      </c>
    </row>
    <row s="1645" customFormat="1" customHeight="1" ht="30" hidden="1">
      <c r="A9" s="1170"/>
      <c r="B9" s="1170"/>
      <c r="C9" s="1170"/>
      <c r="E9" s="1170"/>
      <c r="H9" s="1645"/>
      <c r="L9" s="892"/>
      <c r="M9" s="892" t="s">
        <v>116</v>
      </c>
      <c r="N9" s="892" t="s">
        <v>122</v>
      </c>
      <c r="AL9" s="1639">
        <v>1</v>
      </c>
    </row>
    <row customHeight="1" ht="11.549999999999999">
      <c r="E10" s="2050" t="s">
        <v>624</v>
      </c>
      <c r="I10" s="714"/>
      <c r="J10" s="2389" t="s">
        <v>105</v>
      </c>
      <c r="K10" s="2390"/>
      <c r="L10" s="2029" t="str">
        <f>IF(L9="","",INDEX(DIFFERENTIATION_UNMERGE_VD,MATCH(L9,DIFFERENTIATION_ID_DIFF,0)))</f>
        <v/>
      </c>
      <c r="M10" s="2029" t="str">
        <f>IF(M9="","",INDEX(DIFFERENTIATION_UNMERGE_VD,MATCH(M9,DIFFERENTIATION_ID_DIFF,0)))</f>
        <v>Холодное водоснабжение. Питьевая вода</v>
      </c>
      <c r="N10" s="2415" t="str">
        <f>IF(N9="","",INDEX(DIFFERENTIATION_UNMERGE_VD,MATCH(N9,DIFFERENTIATION_ID_DIFF,0)))</f>
        <v>Подключение (технологическое присоединение) к централизованной системе водоснабжения</v>
      </c>
      <c r="P10" s="2149" t="s">
        <v>302</v>
      </c>
      <c r="AL10" s="1634">
        <v>11</v>
      </c>
    </row>
    <row customHeight="1" ht="11.549999999999999">
      <c r="E11" s="2050" t="s">
        <v>625</v>
      </c>
      <c r="I11" s="714"/>
      <c r="J11" s="2389" t="s">
        <v>563</v>
      </c>
      <c r="K11" s="2390"/>
      <c r="L11" s="2029" t="str">
        <f>IF(L9="","",INDEX(DIFFERENTIATION_UNMERGE_AREA,MATCH(L9,DIFFERENTIATION_ID_DIFF,0)))</f>
        <v/>
      </c>
      <c r="M11" s="2029" t="str">
        <f>IF(M9="","",INDEX(DIFFERENTIATION_UNMERGE_AREA,MATCH(M9,DIFFERENTIATION_ID_DIFF,0)))</f>
        <v>без дифференциации</v>
      </c>
      <c r="N11" s="2415" t="str">
        <f>IF(N9="","",INDEX(DIFFERENTIATION_UNMERGE_AREA,MATCH(N9,DIFFERENTIATION_ID_DIFF,0)))</f>
        <v>без дифференциации</v>
      </c>
      <c r="P11" s="2149"/>
      <c r="AL11" s="1634">
        <v>11</v>
      </c>
    </row>
    <row customHeight="1" ht="11.549999999999999">
      <c r="E12" s="2050" t="s">
        <v>626</v>
      </c>
      <c r="I12" s="1665"/>
      <c r="J12" s="2389" t="s">
        <v>564</v>
      </c>
      <c r="K12" s="2390"/>
      <c r="L12" s="2029" t="str">
        <f>IF(L9="","",INDEX(DIFFERENTIATION_UNMERGE_SYSTEM,MATCH(L9,DIFFERENTIATION_ID_DIFF,0)))</f>
        <v/>
      </c>
      <c r="M12" s="2029" t="str">
        <f>IF(M9="","",INDEX(DIFFERENTIATION_UNMERGE_SYSTEM,MATCH(M9,DIFFERENTIATION_ID_DIFF,0)))</f>
        <v>без дифференциации</v>
      </c>
      <c r="N12" s="2415" t="str">
        <f>IF(N9="","",INDEX(DIFFERENTIATION_UNMERGE_SYSTEM,MATCH(N9,DIFFERENTIATION_ID_DIFF,0)))</f>
        <v>без дифференциации</v>
      </c>
      <c r="P12" s="2149"/>
      <c r="AL12" s="1634">
        <v>11</v>
      </c>
    </row>
    <row customHeight="1" ht="11.549999999999999">
      <c r="E13" s="2050" t="s">
        <v>627</v>
      </c>
      <c r="F13" s="2050" t="s">
        <v>628</v>
      </c>
      <c r="I13" s="2391" t="s">
        <v>301</v>
      </c>
      <c r="J13" s="2392"/>
      <c r="K13" s="2392"/>
      <c r="L13" s="2027"/>
      <c r="M13" s="2067"/>
      <c r="N13" s="2389"/>
      <c r="P13" s="2149"/>
      <c r="AL13" s="1634">
        <v>11</v>
      </c>
    </row>
    <row customHeight="1" ht="24">
      <c r="I14" s="2020" t="s">
        <v>88</v>
      </c>
      <c r="J14" s="2020" t="s">
        <v>303</v>
      </c>
      <c r="K14" s="2020" t="s">
        <v>565</v>
      </c>
      <c r="L14" s="2060" t="s">
        <v>304</v>
      </c>
      <c r="M14" s="2061" t="s">
        <v>304</v>
      </c>
      <c r="N14" s="2284" t="s">
        <v>304</v>
      </c>
      <c r="P14" s="2149"/>
      <c r="AL14" s="1634">
        <v>23</v>
      </c>
    </row>
    <row customHeight="1" ht="24">
      <c r="A15" s="2054"/>
      <c r="B15" s="2053" t="s">
        <v>629</v>
      </c>
      <c r="C15" s="2053" t="s">
        <v>630</v>
      </c>
      <c r="D15" s="2052" t="s">
        <v>631</v>
      </c>
      <c r="E15" s="2056" t="s">
        <v>632</v>
      </c>
      <c r="F15" s="2056" t="s">
        <v>632</v>
      </c>
      <c r="G15" s="1639" t="s">
        <v>582</v>
      </c>
      <c r="H15" s="2021"/>
      <c r="I15" s="1633">
        <v>1</v>
      </c>
      <c r="J15" s="2022" t="s">
        <v>633</v>
      </c>
      <c r="K15" s="2020" t="s">
        <v>307</v>
      </c>
      <c r="L15" s="2661"/>
      <c r="M15" s="2660"/>
      <c r="N15" s="2661"/>
      <c r="O15" s="546" t="s">
        <v>634</v>
      </c>
      <c r="P15" s="1528" t="s">
        <v>635</v>
      </c>
      <c r="Q15" s="546" t="s">
        <v>634</v>
      </c>
      <c r="AL15" s="1634">
        <v>23</v>
      </c>
    </row>
    <row customHeight="1" ht="35.699999999999996">
      <c r="A16" s="2054"/>
      <c r="B16" s="2053" t="s">
        <v>636</v>
      </c>
      <c r="C16" s="2053" t="s">
        <v>637</v>
      </c>
      <c r="D16" s="2052" t="s">
        <v>621</v>
      </c>
      <c r="E16" s="2056" t="s">
        <v>632</v>
      </c>
      <c r="F16" s="2056" t="s">
        <v>632</v>
      </c>
      <c r="H16" s="2021"/>
      <c r="I16" s="1632">
        <v>2</v>
      </c>
      <c r="J16" s="2063" t="s">
        <v>638</v>
      </c>
      <c r="K16" s="2062" t="s">
        <v>555</v>
      </c>
      <c r="L16" s="2068"/>
      <c r="M16" s="1678"/>
      <c r="N16" s="2068"/>
      <c r="O16" s="546" t="s">
        <v>634</v>
      </c>
      <c r="P16" s="1528" t="s">
        <v>639</v>
      </c>
      <c r="Q16" s="546" t="s">
        <v>634</v>
      </c>
      <c r="AL16" s="1634">
        <v>34</v>
      </c>
    </row>
    <row s="1645" customFormat="1" customHeight="1" ht="17.25" hidden="1">
      <c r="A17" s="1170"/>
      <c r="B17" s="1170"/>
      <c r="C17" s="1170"/>
      <c r="D17" s="1170"/>
      <c r="E17" s="1170"/>
      <c r="H17" s="1327"/>
      <c r="I17" s="1016" t="s">
        <v>640</v>
      </c>
      <c r="J17" s="994"/>
      <c r="K17" s="1016"/>
      <c r="L17" s="995"/>
      <c r="M17" s="995"/>
      <c r="N17" s="995"/>
      <c r="P17" s="1388"/>
      <c r="AL17" s="1639">
        <v>1</v>
      </c>
    </row>
    <row s="1369" customFormat="1" customHeight="1" ht="24">
      <c r="A18" s="990"/>
      <c r="B18" s="990"/>
      <c r="C18" s="990"/>
      <c r="D18" s="990"/>
      <c r="E18" s="990"/>
      <c r="G18" s="1639"/>
      <c r="H18" s="1636"/>
      <c r="I18" s="573"/>
      <c r="J18" s="574" t="s">
        <v>590</v>
      </c>
      <c r="K18" s="575"/>
      <c r="L18" s="2070"/>
      <c r="M18" s="576"/>
      <c r="N18" s="2674"/>
      <c r="O18" s="546"/>
      <c r="P18" s="1528" t="s">
        <v>591</v>
      </c>
      <c r="Q18" s="546"/>
      <c r="R18" s="1639"/>
      <c r="S18" s="1639"/>
      <c r="X18" s="1639"/>
      <c r="AA18" s="547"/>
      <c r="AG18" s="1635"/>
      <c r="AH18" s="1635"/>
      <c r="AI18" s="1635"/>
      <c r="AJ18" s="1635"/>
      <c r="AK18" s="1635"/>
      <c r="AL18" s="1369">
        <v>23</v>
      </c>
    </row>
    <row customHeight="1" ht="19.95">
      <c r="A19" s="2054"/>
      <c r="B19" s="2053" t="s">
        <v>641</v>
      </c>
      <c r="C19" s="2053" t="s">
        <v>642</v>
      </c>
      <c r="D19" s="2052" t="s">
        <v>621</v>
      </c>
      <c r="E19" s="2056" t="s">
        <v>632</v>
      </c>
      <c r="F19" s="2056" t="s">
        <v>632</v>
      </c>
      <c r="H19" s="2021"/>
      <c r="I19" s="1667">
        <v>3</v>
      </c>
      <c r="J19" s="2022" t="s">
        <v>642</v>
      </c>
      <c r="K19" s="2018" t="s">
        <v>555</v>
      </c>
      <c r="L19" s="730"/>
      <c r="M19" s="560"/>
      <c r="N19" s="730"/>
      <c r="O19" s="546"/>
      <c r="P19" s="1528" t="s">
        <v>643</v>
      </c>
      <c r="Q19" s="546"/>
      <c r="AL19" s="1634">
        <v>19</v>
      </c>
    </row>
    <row customHeight="1" ht="77.7">
      <c r="A20" s="2054"/>
      <c r="B20" s="2053" t="s">
        <v>644</v>
      </c>
      <c r="C20" s="2053" t="s">
        <v>645</v>
      </c>
      <c r="D20" s="2052" t="s">
        <v>621</v>
      </c>
      <c r="E20" s="2056" t="s">
        <v>632</v>
      </c>
      <c r="F20" s="2056" t="s">
        <v>632</v>
      </c>
      <c r="H20" s="2021"/>
      <c r="I20" s="1667">
        <v>4</v>
      </c>
      <c r="J20" s="2022" t="s">
        <v>646</v>
      </c>
      <c r="K20" s="2018" t="s">
        <v>587</v>
      </c>
      <c r="L20" s="730"/>
      <c r="M20" s="560"/>
      <c r="N20" s="730"/>
      <c r="O20" s="546"/>
      <c r="P20" s="1528"/>
      <c r="Q20" s="546"/>
      <c r="AL20" s="1634">
        <v>74</v>
      </c>
    </row>
    <row customHeight="1" ht="35.699999999999996">
      <c r="A21" s="2054"/>
      <c r="B21" s="2053" t="s">
        <v>647</v>
      </c>
      <c r="C21" s="2053" t="s">
        <v>648</v>
      </c>
      <c r="D21" s="2052" t="s">
        <v>621</v>
      </c>
      <c r="E21" s="2056" t="s">
        <v>632</v>
      </c>
      <c r="F21" s="2056" t="s">
        <v>632</v>
      </c>
      <c r="H21" s="2021"/>
      <c r="I21" s="1667">
        <v>5</v>
      </c>
      <c r="J21" s="2022" t="s">
        <v>649</v>
      </c>
      <c r="K21" s="2018" t="s">
        <v>587</v>
      </c>
      <c r="L21" s="730"/>
      <c r="M21" s="560"/>
      <c r="N21" s="730"/>
      <c r="O21" s="546"/>
      <c r="P21" s="1528" t="s">
        <v>643</v>
      </c>
      <c r="Q21" s="546"/>
      <c r="AL21" s="1634">
        <v>34</v>
      </c>
    </row>
    <row customHeight="1" ht="48.29999999999999">
      <c r="A22" s="2054"/>
      <c r="B22" s="2053" t="s">
        <v>650</v>
      </c>
      <c r="C22" s="2053" t="s">
        <v>651</v>
      </c>
      <c r="D22" s="2052" t="s">
        <v>621</v>
      </c>
      <c r="E22" s="2056" t="s">
        <v>632</v>
      </c>
      <c r="F22" s="2056" t="s">
        <v>632</v>
      </c>
      <c r="H22" s="2021"/>
      <c r="I22" s="1667">
        <v>6</v>
      </c>
      <c r="J22" s="2022" t="s">
        <v>652</v>
      </c>
      <c r="K22" s="2018" t="s">
        <v>587</v>
      </c>
      <c r="L22" s="730"/>
      <c r="M22" s="560"/>
      <c r="N22" s="730"/>
      <c r="O22" s="546"/>
      <c r="P22" s="1528" t="s">
        <v>653</v>
      </c>
      <c r="Q22" s="546"/>
      <c r="AL22" s="1634">
        <v>46</v>
      </c>
    </row>
    <row customHeight="1" ht="19.95">
      <c r="A23" s="2054"/>
      <c r="B23" s="2053" t="s">
        <v>654</v>
      </c>
      <c r="C23" s="2053" t="s">
        <v>655</v>
      </c>
      <c r="D23" s="2052" t="s">
        <v>621</v>
      </c>
      <c r="E23" s="2056" t="s">
        <v>632</v>
      </c>
      <c r="F23" s="2056" t="s">
        <v>632</v>
      </c>
      <c r="H23" s="2021"/>
      <c r="I23" s="1667" t="s">
        <v>656</v>
      </c>
      <c r="J23" s="1527" t="s">
        <v>657</v>
      </c>
      <c r="K23" s="2018" t="s">
        <v>587</v>
      </c>
      <c r="L23" s="730"/>
      <c r="M23" s="560"/>
      <c r="N23" s="730"/>
      <c r="O23" s="546"/>
      <c r="P23" s="1528" t="s">
        <v>643</v>
      </c>
      <c r="Q23" s="546"/>
      <c r="AL23" s="1634">
        <v>19</v>
      </c>
    </row>
    <row customHeight="1" ht="19.95">
      <c r="A24" s="2054"/>
      <c r="B24" s="2053" t="s">
        <v>658</v>
      </c>
      <c r="C24" s="2053" t="s">
        <v>659</v>
      </c>
      <c r="D24" s="2052" t="s">
        <v>621</v>
      </c>
      <c r="E24" s="2056" t="s">
        <v>632</v>
      </c>
      <c r="F24" s="2056" t="s">
        <v>632</v>
      </c>
      <c r="H24" s="2021"/>
      <c r="I24" s="1667" t="s">
        <v>660</v>
      </c>
      <c r="J24" s="1527" t="s">
        <v>661</v>
      </c>
      <c r="K24" s="2018" t="s">
        <v>587</v>
      </c>
      <c r="L24" s="730"/>
      <c r="M24" s="560"/>
      <c r="N24" s="730"/>
      <c r="O24" s="546"/>
      <c r="P24" s="1528"/>
      <c r="Q24" s="546"/>
      <c r="AL24" s="1634">
        <v>19</v>
      </c>
    </row>
    <row customHeight="1" ht="24">
      <c r="A25" s="2054"/>
      <c r="B25" s="2053" t="s">
        <v>662</v>
      </c>
      <c r="C25" s="2053" t="s">
        <v>663</v>
      </c>
      <c r="D25" s="2052" t="s">
        <v>621</v>
      </c>
      <c r="E25" s="2056" t="s">
        <v>632</v>
      </c>
      <c r="F25" s="2056" t="s">
        <v>632</v>
      </c>
      <c r="H25" s="2021"/>
      <c r="I25" s="1667" t="s">
        <v>664</v>
      </c>
      <c r="J25" s="1527" t="s">
        <v>665</v>
      </c>
      <c r="K25" s="2018" t="s">
        <v>587</v>
      </c>
      <c r="L25" s="730"/>
      <c r="M25" s="560"/>
      <c r="N25" s="730"/>
      <c r="O25" s="546"/>
      <c r="P25" s="1528"/>
      <c r="Q25" s="546"/>
      <c r="AL25" s="1634">
        <v>23</v>
      </c>
    </row>
    <row customHeight="1" ht="24">
      <c r="A26" s="2054"/>
      <c r="B26" s="2053" t="s">
        <v>666</v>
      </c>
      <c r="C26" s="2053" t="s">
        <v>667</v>
      </c>
      <c r="D26" s="2052" t="s">
        <v>621</v>
      </c>
      <c r="E26" s="2056" t="s">
        <v>632</v>
      </c>
      <c r="F26" s="2056" t="s">
        <v>632</v>
      </c>
      <c r="H26" s="2021"/>
      <c r="I26" s="1667">
        <v>7</v>
      </c>
      <c r="J26" s="2022" t="s">
        <v>667</v>
      </c>
      <c r="K26" s="2018" t="s">
        <v>668</v>
      </c>
      <c r="L26" s="730"/>
      <c r="M26" s="560"/>
      <c r="N26" s="730"/>
      <c r="O26" s="546"/>
      <c r="P26" s="1528"/>
      <c r="Q26" s="546"/>
      <c r="AL26" s="1634">
        <v>23</v>
      </c>
    </row>
    <row customHeight="1" ht="24">
      <c r="A27" s="2054"/>
      <c r="B27" s="2053" t="s">
        <v>669</v>
      </c>
      <c r="C27" s="2053" t="s">
        <v>670</v>
      </c>
      <c r="D27" s="2052" t="s">
        <v>621</v>
      </c>
      <c r="E27" s="2056" t="s">
        <v>632</v>
      </c>
      <c r="F27" s="2056" t="s">
        <v>632</v>
      </c>
      <c r="H27" s="2021"/>
      <c r="I27" s="1667">
        <v>8</v>
      </c>
      <c r="J27" s="2022" t="s">
        <v>670</v>
      </c>
      <c r="K27" s="2018" t="s">
        <v>592</v>
      </c>
      <c r="L27" s="730"/>
      <c r="M27" s="560"/>
      <c r="N27" s="730"/>
      <c r="O27" s="546"/>
      <c r="P27" s="1528"/>
      <c r="Q27" s="546"/>
      <c r="AL27" s="1634">
        <v>23</v>
      </c>
    </row>
    <row customHeight="1" ht="35.699999999999996">
      <c r="A28" s="2054"/>
      <c r="B28" s="2053" t="s">
        <v>671</v>
      </c>
      <c r="C28" s="2053" t="s">
        <v>672</v>
      </c>
      <c r="D28" s="2052" t="s">
        <v>621</v>
      </c>
      <c r="E28" s="2056" t="s">
        <v>632</v>
      </c>
      <c r="F28" s="2056" t="s">
        <v>632</v>
      </c>
      <c r="H28" s="2021"/>
      <c r="I28" s="1677">
        <v>9</v>
      </c>
      <c r="J28" s="2022" t="s">
        <v>673</v>
      </c>
      <c r="K28" s="2018" t="s">
        <v>559</v>
      </c>
      <c r="L28" s="730"/>
      <c r="M28" s="560"/>
      <c r="N28" s="730"/>
      <c r="O28" s="546"/>
      <c r="P28" s="1528"/>
      <c r="Q28" s="546"/>
      <c r="AL28" s="1634">
        <v>34</v>
      </c>
    </row>
    <row customHeight="1" ht="35.699999999999996">
      <c r="A29" s="2054"/>
      <c r="B29" s="2053" t="s">
        <v>674</v>
      </c>
      <c r="C29" s="2053" t="s">
        <v>675</v>
      </c>
      <c r="D29" s="2052" t="s">
        <v>621</v>
      </c>
      <c r="E29" s="2056" t="s">
        <v>632</v>
      </c>
      <c r="F29" s="2056" t="s">
        <v>632</v>
      </c>
      <c r="H29" s="2021"/>
      <c r="I29" s="1677">
        <v>10</v>
      </c>
      <c r="J29" s="2022" t="s">
        <v>676</v>
      </c>
      <c r="K29" s="2018" t="s">
        <v>559</v>
      </c>
      <c r="L29" s="730"/>
      <c r="M29" s="560"/>
      <c r="N29" s="730"/>
      <c r="O29" s="546"/>
      <c r="P29" s="1528"/>
      <c r="Q29" s="546"/>
      <c r="AL29" s="1634">
        <v>34</v>
      </c>
    </row>
    <row customHeight="1" ht="24">
      <c r="A30" s="2054"/>
      <c r="B30" s="2053" t="s">
        <v>677</v>
      </c>
      <c r="C30" s="2053" t="s">
        <v>678</v>
      </c>
      <c r="D30" s="2052" t="s">
        <v>621</v>
      </c>
      <c r="E30" s="2056" t="s">
        <v>632</v>
      </c>
      <c r="F30" s="2056" t="s">
        <v>632</v>
      </c>
      <c r="H30" s="2021"/>
      <c r="I30" s="1677">
        <v>11</v>
      </c>
      <c r="J30" s="2022" t="s">
        <v>678</v>
      </c>
      <c r="K30" s="2018" t="s">
        <v>593</v>
      </c>
      <c r="L30" s="2069"/>
      <c r="M30" s="1624"/>
      <c r="N30" s="2069"/>
      <c r="O30" s="546"/>
      <c r="P30" s="1528"/>
      <c r="Q30" s="546"/>
      <c r="AL30" s="1634">
        <v>23</v>
      </c>
    </row>
    <row customHeight="1" ht="24">
      <c r="A31" s="2054"/>
      <c r="B31" s="2053" t="s">
        <v>679</v>
      </c>
      <c r="C31" s="2053" t="s">
        <v>680</v>
      </c>
      <c r="D31" s="2052" t="s">
        <v>621</v>
      </c>
      <c r="E31" s="2056" t="s">
        <v>632</v>
      </c>
      <c r="F31" s="2056" t="s">
        <v>632</v>
      </c>
      <c r="H31" s="2021"/>
      <c r="I31" s="1677">
        <v>12</v>
      </c>
      <c r="J31" s="2022" t="s">
        <v>680</v>
      </c>
      <c r="K31" s="2018" t="s">
        <v>593</v>
      </c>
      <c r="L31" s="2069"/>
      <c r="M31" s="1624"/>
      <c r="N31" s="2069"/>
      <c r="O31" s="546"/>
      <c r="P31" s="1528"/>
      <c r="Q31" s="546"/>
      <c r="AL31" s="1634">
        <v>23</v>
      </c>
    </row>
    <row customHeight="1" ht="48.29999999999999">
      <c r="A32" s="2054"/>
      <c r="B32" s="2053" t="s">
        <v>681</v>
      </c>
      <c r="C32" s="2053" t="s">
        <v>682</v>
      </c>
      <c r="D32" s="2052" t="s">
        <v>621</v>
      </c>
      <c r="E32" s="2056" t="s">
        <v>632</v>
      </c>
      <c r="F32" s="2056" t="s">
        <v>632</v>
      </c>
      <c r="H32" s="2021"/>
      <c r="I32" s="1677">
        <v>13</v>
      </c>
      <c r="J32" s="2022" t="s">
        <v>683</v>
      </c>
      <c r="K32" s="2018" t="s">
        <v>603</v>
      </c>
      <c r="L32" s="730"/>
      <c r="M32" s="560"/>
      <c r="N32" s="730"/>
      <c r="O32" s="546"/>
      <c r="P32" s="1528" t="s">
        <v>643</v>
      </c>
      <c r="Q32" s="546"/>
      <c r="AL32" s="1634">
        <v>46</v>
      </c>
    </row>
    <row s="1369" customFormat="1" customHeight="1" ht="48.29999999999999">
      <c r="A33" s="2054"/>
      <c r="B33" s="2053" t="s">
        <v>684</v>
      </c>
      <c r="C33" s="2053" t="s">
        <v>685</v>
      </c>
      <c r="D33" s="2052" t="s">
        <v>621</v>
      </c>
      <c r="E33" s="2056" t="s">
        <v>632</v>
      </c>
      <c r="F33" s="2056" t="s">
        <v>632</v>
      </c>
      <c r="G33" s="1639"/>
      <c r="H33" s="2021"/>
      <c r="I33" s="1677">
        <v>14</v>
      </c>
      <c r="J33" s="2034" t="s">
        <v>686</v>
      </c>
      <c r="K33" s="2023" t="s">
        <v>687</v>
      </c>
      <c r="L33" s="730"/>
      <c r="M33" s="560"/>
      <c r="N33" s="730"/>
      <c r="O33" s="546"/>
      <c r="P33" s="1528" t="s">
        <v>643</v>
      </c>
      <c r="Q33" s="546"/>
      <c r="R33" s="1639"/>
      <c r="S33" s="1639"/>
      <c r="X33" s="1639"/>
      <c r="AA33" s="547"/>
      <c r="AG33" s="1635"/>
      <c r="AH33" s="1635"/>
      <c r="AI33" s="1635"/>
      <c r="AJ33" s="1635"/>
      <c r="AK33" s="1635"/>
      <c r="AL33" s="1369">
        <v>46</v>
      </c>
    </row>
    <row customHeight="1" ht="108">
      <c r="A34" s="2054"/>
      <c r="B34" s="2053" t="s">
        <v>688</v>
      </c>
      <c r="C34" s="2053" t="s">
        <v>689</v>
      </c>
      <c r="D34" s="2052" t="s">
        <v>631</v>
      </c>
      <c r="E34" s="2056" t="s">
        <v>632</v>
      </c>
      <c r="F34" s="2056" t="s">
        <v>632</v>
      </c>
      <c r="G34" s="1639" t="s">
        <v>582</v>
      </c>
      <c r="H34" s="2021"/>
      <c r="I34" s="2032">
        <v>15</v>
      </c>
      <c r="J34" s="2033" t="s">
        <v>690</v>
      </c>
      <c r="K34" s="2018" t="s">
        <v>307</v>
      </c>
      <c r="L34" s="388"/>
      <c r="M34" s="1167"/>
      <c r="N34" s="2661"/>
      <c r="O34" s="546"/>
      <c r="P34" s="1528" t="s">
        <v>635</v>
      </c>
      <c r="Q34" s="546"/>
      <c r="AL34" s="1634">
        <v>103</v>
      </c>
    </row>
    <row s="1644" customFormat="1" customHeight="1" ht="11.549999999999999">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549999999999999">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549999999999999">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549999999999999">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549999999999999">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549999999999999">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549999999999999">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549999999999999">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549999999999999">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549999999999999">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549999999999999">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549999999999999">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549999999999999">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549999999999999">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549999999999999">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549999999999999">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549999999999999">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549999999999999">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549999999999999">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549999999999999">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549999999999999">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549999999999999">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549999999999999">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549999999999999">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549999999999999">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549999999999999">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549999999999999">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549999999999999">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549999999999999">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549999999999999">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549999999999999">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549999999999999">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549999999999999">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549999999999999">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549999999999999">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549999999999999">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549999999999999">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549999999999999">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549999999999999">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549999999999999">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549999999999999">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549999999999999">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549999999999999">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549999999999999">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549999999999999">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549999999999999">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549999999999999">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549999999999999">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549999999999999">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549999999999999">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549999999999999">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549999999999999">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549999999999999">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549999999999999">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549999999999999">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549999999999999">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549999999999999">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549999999999999">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549999999999999">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549999999999999">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549999999999999">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549999999999999">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549999999999999">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549999999999999">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549999999999999">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549999999999999">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549999999999999">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549999999999999">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549999999999999">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549999999999999">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549999999999999">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549999999999999">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549999999999999">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549999999999999">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549999999999999">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549999999999999">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549999999999999">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549999999999999">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549999999999999">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549999999999999">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549999999999999">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549999999999999">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549999999999999">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549999999999999">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549999999999999">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549999999999999">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549999999999999">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549999999999999">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549999999999999">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549999999999999">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549999999999999">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549999999999999">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549999999999999">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549999999999999">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549999999999999">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549999999999999">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549999999999999">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549999999999999">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549999999999999">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549999999999999">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549999999999999">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549999999999999">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549999999999999">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549999999999999">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549999999999999">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549999999999999">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549999999999999">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549999999999999">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549999999999999">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549999999999999">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549999999999999">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549999999999999">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549999999999999">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549999999999999">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549999999999999">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549999999999999">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549999999999999">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549999999999999">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549999999999999">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549999999999999">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549999999999999">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549999999999999">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549999999999999">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549999999999999">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549999999999999">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549999999999999">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549999999999999">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549999999999999">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549999999999999">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549999999999999">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549999999999999">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549999999999999">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549999999999999">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549999999999999">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549999999999999">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549999999999999">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549999999999999">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549999999999999">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549999999999999">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549999999999999">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549999999999999">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549999999999999">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549999999999999">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549999999999999">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549999999999999">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549999999999999">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549999999999999">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549999999999999">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549999999999999">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549999999999999">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549999999999999">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549999999999999">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549999999999999">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549999999999999">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549999999999999">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549999999999999">
      <c r="N190" s="1638"/>
      <c r="AL190" s="1634">
        <v>11</v>
      </c>
    </row>
    <row customHeight="1" ht="11.549999999999999">
      <c r="N191" s="1638"/>
      <c r="AL191" s="1634">
        <v>11</v>
      </c>
    </row>
    <row customHeight="1" ht="11.549999999999999">
      <c r="N192" s="1638"/>
      <c r="AL192" s="1634">
        <v>11</v>
      </c>
    </row>
    <row customHeight="1" ht="11.549999999999999">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549999999999999">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549999999999999">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549999999999999">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549999999999999">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549999999999999">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549999999999999">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82</v>
      </c>
      <c r="B204" s="990" t="s">
        <v>152</v>
      </c>
      <c r="C204" s="990" t="s">
        <v>152</v>
      </c>
      <c r="D204" s="990" t="s">
        <v>152</v>
      </c>
      <c r="E204" s="990" t="s">
        <v>152</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E387B-6129-F102-814D-0.EA886AE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691</v>
      </c>
      <c r="C2" s="2053" t="s">
        <v>692</v>
      </c>
      <c r="D2" s="2052" t="s">
        <v>631</v>
      </c>
      <c r="E2" s="2058">
        <f>I2-3</f>
        <v>-3</v>
      </c>
      <c r="F2" s="2058">
        <f>J2</f>
        <v>0</v>
      </c>
      <c r="H2" s="1732" t="s">
        <v>121</v>
      </c>
      <c r="I2" s="2024"/>
      <c r="J2" s="1684"/>
      <c r="K2" s="2018" t="s">
        <v>307</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693</v>
      </c>
      <c r="J5" s="2270"/>
      <c r="K5" s="2270"/>
      <c r="L5" s="2270"/>
      <c r="M5" s="269"/>
      <c r="W5" s="1634">
        <v>48</v>
      </c>
    </row>
    <row customHeight="1" ht="18">
      <c r="H6" s="379"/>
      <c r="I6" s="2271" t="str">
        <f>IF(org=0,"Не определено",org)</f>
        <v>АО "Водоканал"</v>
      </c>
      <c r="J6" s="2271"/>
      <c r="K6" s="2271"/>
      <c r="L6" s="2271"/>
      <c r="M6" s="269"/>
      <c r="W6" s="1634">
        <v>17</v>
      </c>
    </row>
    <row customHeight="1" ht="14.699999999999998">
      <c r="H7" s="379"/>
      <c r="I7" s="460"/>
      <c r="J7" s="466"/>
      <c r="K7" s="466"/>
      <c r="L7" s="755"/>
      <c r="M7" s="196"/>
      <c r="W7" s="1634">
        <v>14</v>
      </c>
    </row>
    <row customHeight="1" ht="14.699999999999998">
      <c r="H8" s="379"/>
      <c r="I8" s="2408" t="s">
        <v>301</v>
      </c>
      <c r="J8" s="2409"/>
      <c r="K8" s="2409"/>
      <c r="L8" s="2410"/>
      <c r="M8" s="2411" t="s">
        <v>302</v>
      </c>
      <c r="W8" s="1634">
        <v>14</v>
      </c>
    </row>
    <row customHeight="1" ht="35.699999999999996">
      <c r="E9" s="2051" t="s">
        <v>622</v>
      </c>
      <c r="F9" s="2051" t="s">
        <v>628</v>
      </c>
      <c r="H9" s="379"/>
      <c r="I9" s="2025" t="s">
        <v>88</v>
      </c>
      <c r="J9" s="2026" t="s">
        <v>303</v>
      </c>
      <c r="K9" s="2064" t="s">
        <v>565</v>
      </c>
      <c r="L9" s="2065" t="s">
        <v>304</v>
      </c>
      <c r="M9" s="2411"/>
      <c r="W9" s="1634">
        <v>34</v>
      </c>
    </row>
    <row customHeight="1" ht="35.699999999999996">
      <c r="B10" s="2053" t="s">
        <v>694</v>
      </c>
      <c r="C10" s="2053" t="s">
        <v>695</v>
      </c>
      <c r="D10" s="2052" t="s">
        <v>631</v>
      </c>
      <c r="E10" s="2056" t="s">
        <v>632</v>
      </c>
      <c r="F10" s="2056" t="s">
        <v>632</v>
      </c>
      <c r="H10" s="379"/>
      <c r="I10" s="2024" t="s">
        <v>99</v>
      </c>
      <c r="J10" s="1886" t="s">
        <v>696</v>
      </c>
      <c r="K10" s="2018" t="s">
        <v>307</v>
      </c>
      <c r="L10" s="821"/>
      <c r="M10" s="300" t="s">
        <v>697</v>
      </c>
      <c r="W10" s="1634">
        <v>34</v>
      </c>
    </row>
    <row customHeight="1" ht="50.25">
      <c r="B11" s="2053" t="s">
        <v>698</v>
      </c>
      <c r="C11" s="2053" t="s">
        <v>699</v>
      </c>
      <c r="D11" s="2052" t="s">
        <v>631</v>
      </c>
      <c r="E11" s="2056" t="s">
        <v>632</v>
      </c>
      <c r="F11" s="2056" t="s">
        <v>632</v>
      </c>
      <c r="H11" s="379"/>
      <c r="I11" s="2024" t="s">
        <v>109</v>
      </c>
      <c r="J11" s="1886" t="s">
        <v>700</v>
      </c>
      <c r="K11" s="2018" t="s">
        <v>307</v>
      </c>
      <c r="L11" s="821"/>
      <c r="M11" s="300" t="s">
        <v>697</v>
      </c>
      <c r="W11" s="1634">
        <v>48</v>
      </c>
    </row>
    <row customHeight="1" ht="48.29999999999999">
      <c r="B12" s="2053" t="s">
        <v>701</v>
      </c>
      <c r="C12" s="2053" t="s">
        <v>702</v>
      </c>
      <c r="D12" s="2052" t="s">
        <v>631</v>
      </c>
      <c r="E12" s="2056" t="s">
        <v>632</v>
      </c>
      <c r="F12" s="2056" t="s">
        <v>632</v>
      </c>
      <c r="H12" s="1690"/>
      <c r="I12" s="2024" t="s">
        <v>90</v>
      </c>
      <c r="J12" s="2031" t="s">
        <v>703</v>
      </c>
      <c r="K12" s="2018" t="s">
        <v>307</v>
      </c>
      <c r="L12" s="821"/>
      <c r="M12" s="300" t="s">
        <v>704</v>
      </c>
      <c r="N12" s="1627"/>
      <c r="P12" s="1634"/>
      <c r="W12" s="1634">
        <v>46</v>
      </c>
    </row>
    <row customHeight="1" ht="14.699999999999998">
      <c r="E13" s="346"/>
      <c r="H13" s="379"/>
      <c r="I13" s="350"/>
      <c r="J13" s="654" t="s">
        <v>705</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82</v>
      </c>
      <c r="B16" s="1634">
        <v>9</v>
      </c>
      <c r="C16" s="1634">
        <v>9</v>
      </c>
      <c r="D16" s="1634">
        <v>9</v>
      </c>
      <c r="E16" s="2030" t="s">
        <v>151</v>
      </c>
      <c r="F16" s="2055" t="s">
        <v>151</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C3753-EA8C-FB5B-25A4-0.B486F27E}" mc:Ignorable="x14ac xr xr2 xr3">
  <sheetPr>
    <tabColor theme="9" tint="-0.25"/>
  </sheetPr>
  <dimension ref="A1:AG219"/>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551</v>
      </c>
      <c r="H2" s="544"/>
      <c r="I2" s="544"/>
      <c r="J2" s="754"/>
      <c r="K2" s="545" t="s">
        <v>706</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1.5">
      <c r="E6" s="2329" t="s">
        <v>707</v>
      </c>
      <c r="F6" s="2329"/>
      <c r="G6" s="2329"/>
      <c r="H6" s="2329"/>
      <c r="I6" s="2329"/>
      <c r="J6" s="2329"/>
      <c r="K6" s="559"/>
      <c r="AG6" s="1634">
        <v>30</v>
      </c>
    </row>
    <row customHeight="1" ht="11.549999999999999">
      <c r="E7" s="2271" t="str">
        <f>IF(org=0,"Не определено",org)</f>
        <v>АО "Водоканал"</v>
      </c>
      <c r="F7" s="2271"/>
      <c r="G7" s="2271"/>
      <c r="H7" s="2271"/>
      <c r="I7" s="2271"/>
      <c r="J7" s="2271"/>
      <c r="AG7" s="1634">
        <v>11</v>
      </c>
    </row>
    <row customHeight="1" ht="11.549999999999999">
      <c r="E8" s="1138"/>
      <c r="F8" s="1138"/>
      <c r="G8" s="1138"/>
      <c r="H8" s="1138"/>
      <c r="I8" s="1138"/>
      <c r="J8" s="1139" t="s">
        <v>22</v>
      </c>
      <c r="AG8" s="1634">
        <v>11</v>
      </c>
    </row>
    <row s="1645" customFormat="1" customHeight="1" ht="4.2">
      <c r="A9" s="1170"/>
      <c r="D9" s="1645"/>
      <c r="H9" s="892"/>
      <c r="I9" s="892" t="s">
        <v>116</v>
      </c>
      <c r="J9" s="892" t="s">
        <v>122</v>
      </c>
      <c r="AG9" s="1639">
        <v>4</v>
      </c>
    </row>
    <row customHeight="1" ht="11.549999999999999">
      <c r="E10" s="714"/>
      <c r="F10" s="2389" t="s">
        <v>105</v>
      </c>
      <c r="G10" s="2390"/>
      <c r="H10" s="1555" t="str">
        <f>IF(H9="","",INDEX(DIFFERENTIATION_UNMERGE_VD,MATCH(H9,DIFFERENTIATION_ID_DIFF,0)))</f>
        <v/>
      </c>
      <c r="I10" s="1555" t="str">
        <f>IF(I9="","",INDEX(DIFFERENTIATION_UNMERGE_VD,MATCH(I9,DIFFERENTIATION_ID_DIFF,0)))</f>
        <v>Холодное водоснабжение. Питьевая вода</v>
      </c>
      <c r="J10" s="2415" t="str">
        <f>IF(J9="","",INDEX(DIFFERENTIATION_UNMERGE_VD,MATCH(J9,DIFFERENTIATION_ID_DIFF,0)))</f>
        <v>Подключение (технологическое присоединение) к централизованной системе водоснабжения</v>
      </c>
      <c r="K10" s="2149" t="s">
        <v>302</v>
      </c>
      <c r="AG10" s="1634">
        <v>11</v>
      </c>
    </row>
    <row customHeight="1" ht="11.549999999999999">
      <c r="E11" s="714"/>
      <c r="F11" s="2389" t="s">
        <v>563</v>
      </c>
      <c r="G11" s="2390"/>
      <c r="H11" s="1555" t="str">
        <f>IF(H9="","",INDEX(DIFFERENTIATION_UNMERGE_AREA,MATCH(H9,DIFFERENTIATION_ID_DIFF,0)))</f>
        <v/>
      </c>
      <c r="I11" s="1555" t="str">
        <f>IF(I9="","",INDEX(DIFFERENTIATION_UNMERGE_AREA,MATCH(I9,DIFFERENTIATION_ID_DIFF,0)))</f>
        <v>без дифференциации</v>
      </c>
      <c r="J11" s="2415" t="str">
        <f>IF(J9="","",INDEX(DIFFERENTIATION_UNMERGE_AREA,MATCH(J9,DIFFERENTIATION_ID_DIFF,0)))</f>
        <v>без дифференциации</v>
      </c>
      <c r="K11" s="2149"/>
      <c r="AG11" s="1634">
        <v>11</v>
      </c>
    </row>
    <row customHeight="1" ht="1.05">
      <c r="E12" s="1665"/>
      <c r="F12" s="2412" t="s">
        <v>564</v>
      </c>
      <c r="G12" s="2413"/>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49"/>
      <c r="AG12" s="1634">
        <v>1</v>
      </c>
    </row>
    <row customHeight="1" ht="11.549999999999999">
      <c r="E13" s="2391" t="s">
        <v>301</v>
      </c>
      <c r="F13" s="2392"/>
      <c r="G13" s="2392"/>
      <c r="H13" s="1554"/>
      <c r="I13" s="1554"/>
      <c r="J13" s="2389"/>
      <c r="K13" s="2149"/>
      <c r="AG13" s="1634">
        <v>11</v>
      </c>
    </row>
    <row customHeight="1" ht="24">
      <c r="E14" s="1642" t="s">
        <v>88</v>
      </c>
      <c r="F14" s="1637" t="s">
        <v>303</v>
      </c>
      <c r="G14" s="1637" t="s">
        <v>565</v>
      </c>
      <c r="H14" s="1637" t="s">
        <v>304</v>
      </c>
      <c r="I14" s="1637" t="s">
        <v>304</v>
      </c>
      <c r="J14" s="2388" t="s">
        <v>304</v>
      </c>
      <c r="K14" s="2149"/>
      <c r="AG14" s="1634">
        <v>23</v>
      </c>
    </row>
    <row customHeight="1" ht="19.95">
      <c r="D15" s="1641"/>
      <c r="E15" s="1633" t="s">
        <v>99</v>
      </c>
      <c r="F15" s="710" t="s">
        <v>708</v>
      </c>
      <c r="G15" s="1649" t="s">
        <v>551</v>
      </c>
      <c r="H15" s="560"/>
      <c r="I15" s="560"/>
      <c r="J15" s="560"/>
      <c r="K15" s="292" t="s">
        <v>709</v>
      </c>
      <c r="L15" s="546" t="s">
        <v>634</v>
      </c>
      <c r="AG15" s="1634">
        <v>19</v>
      </c>
    </row>
    <row customHeight="1" ht="35.699999999999996">
      <c r="D16" s="1641"/>
      <c r="E16" s="1633" t="s">
        <v>109</v>
      </c>
      <c r="F16" s="710" t="s">
        <v>710</v>
      </c>
      <c r="G16" s="1649" t="s">
        <v>551</v>
      </c>
      <c r="H16" s="561">
        <f>SUM(H17,H20,H23,H26,H29:H32,H35)</f>
        <v>0</v>
      </c>
      <c r="I16" s="561">
        <f>SUM(I17,I20,I23,I26,I29:I32,I35)</f>
        <v>0</v>
      </c>
      <c r="J16" s="561">
        <f>SUM(J17,J20,J23,J26,J29:J32,J35)</f>
        <v>0</v>
      </c>
      <c r="K16" s="292" t="s">
        <v>711</v>
      </c>
      <c r="L16" s="546" t="s">
        <v>634</v>
      </c>
      <c r="AG16" s="1634">
        <v>34</v>
      </c>
    </row>
    <row customHeight="1" ht="19.95">
      <c r="D17" s="1641"/>
      <c r="E17" s="1667" t="s">
        <v>712</v>
      </c>
      <c r="F17" s="957" t="s">
        <v>713</v>
      </c>
      <c r="G17" s="1646" t="s">
        <v>551</v>
      </c>
      <c r="H17" s="560"/>
      <c r="I17" s="560"/>
      <c r="J17" s="560"/>
      <c r="K17" s="292" t="s">
        <v>714</v>
      </c>
      <c r="L17" s="546"/>
      <c r="AG17" s="1634">
        <v>19</v>
      </c>
    </row>
    <row customHeight="1" ht="24">
      <c r="D18" s="1641"/>
      <c r="E18" s="1667" t="s">
        <v>715</v>
      </c>
      <c r="F18" s="1653" t="s">
        <v>716</v>
      </c>
      <c r="G18" s="1646" t="s">
        <v>551</v>
      </c>
      <c r="H18" s="560"/>
      <c r="I18" s="560"/>
      <c r="J18" s="560"/>
      <c r="K18" s="292" t="s">
        <v>717</v>
      </c>
      <c r="L18" s="546"/>
      <c r="AG18" s="1634">
        <v>23</v>
      </c>
    </row>
    <row customHeight="1" ht="35.699999999999996">
      <c r="D19" s="1641"/>
      <c r="E19" s="1667" t="s">
        <v>718</v>
      </c>
      <c r="F19" s="1653" t="s">
        <v>719</v>
      </c>
      <c r="G19" s="1646" t="s">
        <v>551</v>
      </c>
      <c r="H19" s="560"/>
      <c r="I19" s="560"/>
      <c r="J19" s="560"/>
      <c r="K19" s="292"/>
      <c r="L19" s="546"/>
      <c r="AG19" s="1634">
        <v>34</v>
      </c>
    </row>
    <row customHeight="1" ht="19.95">
      <c r="D20" s="1641"/>
      <c r="E20" s="1667" t="s">
        <v>308</v>
      </c>
      <c r="F20" s="957" t="s">
        <v>720</v>
      </c>
      <c r="G20" s="1646" t="s">
        <v>551</v>
      </c>
      <c r="H20" s="560"/>
      <c r="I20" s="560"/>
      <c r="J20" s="560"/>
      <c r="K20" s="292" t="s">
        <v>721</v>
      </c>
      <c r="L20" s="546"/>
      <c r="AG20" s="1634">
        <v>19</v>
      </c>
    </row>
    <row customHeight="1" ht="19.95">
      <c r="D21" s="1641"/>
      <c r="E21" s="1667" t="s">
        <v>722</v>
      </c>
      <c r="F21" s="1653" t="s">
        <v>723</v>
      </c>
      <c r="G21" s="1646" t="s">
        <v>551</v>
      </c>
      <c r="H21" s="560"/>
      <c r="I21" s="560"/>
      <c r="J21" s="560"/>
      <c r="K21" s="292"/>
      <c r="L21" s="546"/>
      <c r="AG21" s="1634">
        <v>19</v>
      </c>
    </row>
    <row customHeight="1" ht="19.95">
      <c r="D22" s="1641"/>
      <c r="E22" s="1667" t="s">
        <v>724</v>
      </c>
      <c r="F22" s="1653" t="s">
        <v>725</v>
      </c>
      <c r="G22" s="1646" t="s">
        <v>551</v>
      </c>
      <c r="H22" s="560"/>
      <c r="I22" s="560"/>
      <c r="J22" s="560"/>
      <c r="K22" s="292"/>
      <c r="L22" s="546"/>
      <c r="AG22" s="1634">
        <v>19</v>
      </c>
    </row>
    <row customHeight="1" ht="24">
      <c r="D23" s="1641"/>
      <c r="E23" s="1667" t="s">
        <v>311</v>
      </c>
      <c r="F23" s="957" t="s">
        <v>726</v>
      </c>
      <c r="G23" s="1646" t="s">
        <v>551</v>
      </c>
      <c r="H23" s="560"/>
      <c r="I23" s="560"/>
      <c r="J23" s="560"/>
      <c r="K23" s="292" t="s">
        <v>727</v>
      </c>
      <c r="L23" s="546"/>
      <c r="AG23" s="1634">
        <v>23</v>
      </c>
    </row>
    <row customHeight="1" ht="19.95">
      <c r="D24" s="1641"/>
      <c r="E24" s="1667" t="s">
        <v>728</v>
      </c>
      <c r="F24" s="1653" t="s">
        <v>729</v>
      </c>
      <c r="G24" s="1646" t="s">
        <v>551</v>
      </c>
      <c r="H24" s="560"/>
      <c r="I24" s="560"/>
      <c r="J24" s="560"/>
      <c r="K24" s="292"/>
      <c r="L24" s="546"/>
      <c r="AG24" s="1634">
        <v>19</v>
      </c>
    </row>
    <row customHeight="1" ht="35.699999999999996">
      <c r="D25" s="1641"/>
      <c r="E25" s="1667" t="s">
        <v>730</v>
      </c>
      <c r="F25" s="1653" t="s">
        <v>731</v>
      </c>
      <c r="G25" s="1646" t="s">
        <v>551</v>
      </c>
      <c r="H25" s="560"/>
      <c r="I25" s="560"/>
      <c r="J25" s="560"/>
      <c r="K25" s="292"/>
      <c r="L25" s="546"/>
      <c r="AG25" s="1634">
        <v>34</v>
      </c>
    </row>
    <row customHeight="1" ht="24">
      <c r="D26" s="1641"/>
      <c r="E26" s="1667" t="s">
        <v>732</v>
      </c>
      <c r="F26" s="957" t="s">
        <v>733</v>
      </c>
      <c r="G26" s="1646" t="s">
        <v>551</v>
      </c>
      <c r="H26" s="560"/>
      <c r="I26" s="560"/>
      <c r="J26" s="560"/>
      <c r="K26" s="292" t="s">
        <v>734</v>
      </c>
      <c r="L26" s="546"/>
      <c r="AG26" s="1634">
        <v>23</v>
      </c>
    </row>
    <row customHeight="1" ht="19.95">
      <c r="D27" s="1641"/>
      <c r="E27" s="1677" t="s">
        <v>735</v>
      </c>
      <c r="F27" s="1653" t="s">
        <v>736</v>
      </c>
      <c r="G27" s="1657" t="s">
        <v>551</v>
      </c>
      <c r="H27" s="1678"/>
      <c r="I27" s="1678"/>
      <c r="J27" s="1678"/>
      <c r="K27" s="292"/>
      <c r="L27" s="546"/>
      <c r="AG27" s="1634">
        <v>19</v>
      </c>
    </row>
    <row customHeight="1" ht="19.95">
      <c r="D28" s="1641"/>
      <c r="E28" s="1677" t="s">
        <v>737</v>
      </c>
      <c r="F28" s="1653" t="s">
        <v>738</v>
      </c>
      <c r="G28" s="1657" t="s">
        <v>551</v>
      </c>
      <c r="H28" s="1678"/>
      <c r="I28" s="1678"/>
      <c r="J28" s="1678"/>
      <c r="K28" s="292"/>
      <c r="L28" s="546"/>
      <c r="AG28" s="1634">
        <v>19</v>
      </c>
    </row>
    <row customHeight="1" ht="19.95">
      <c r="D29" s="1641"/>
      <c r="E29" s="1677" t="s">
        <v>739</v>
      </c>
      <c r="F29" s="957" t="s">
        <v>740</v>
      </c>
      <c r="G29" s="1657" t="s">
        <v>551</v>
      </c>
      <c r="H29" s="1678"/>
      <c r="I29" s="1678"/>
      <c r="J29" s="1678"/>
      <c r="K29" s="292"/>
      <c r="L29" s="546"/>
      <c r="AG29" s="1634">
        <v>19</v>
      </c>
    </row>
    <row customHeight="1" ht="19.95">
      <c r="D30" s="1641"/>
      <c r="E30" s="1677" t="s">
        <v>741</v>
      </c>
      <c r="F30" s="957" t="s">
        <v>742</v>
      </c>
      <c r="G30" s="1657" t="s">
        <v>551</v>
      </c>
      <c r="H30" s="1678"/>
      <c r="I30" s="1678"/>
      <c r="J30" s="1678"/>
      <c r="K30" s="292"/>
      <c r="L30" s="546"/>
      <c r="AG30" s="1634">
        <v>19</v>
      </c>
    </row>
    <row customHeight="1" ht="19.95">
      <c r="D31" s="1641"/>
      <c r="E31" s="1677" t="s">
        <v>743</v>
      </c>
      <c r="F31" s="957" t="s">
        <v>744</v>
      </c>
      <c r="G31" s="1657" t="s">
        <v>551</v>
      </c>
      <c r="H31" s="1678"/>
      <c r="I31" s="1678"/>
      <c r="J31" s="1678"/>
      <c r="K31" s="292"/>
      <c r="L31" s="546"/>
      <c r="AG31" s="1634">
        <v>19</v>
      </c>
    </row>
    <row s="1369" customFormat="1" customHeight="1" ht="35.699999999999996">
      <c r="A32" s="990"/>
      <c r="C32" s="1639"/>
      <c r="D32" s="1641"/>
      <c r="E32" s="1677" t="s">
        <v>745</v>
      </c>
      <c r="F32" s="957" t="s">
        <v>746</v>
      </c>
      <c r="G32" s="1647" t="s">
        <v>551</v>
      </c>
      <c r="H32" s="582">
        <f>SUM(H33:H34)</f>
        <v>0</v>
      </c>
      <c r="I32" s="582">
        <f>SUM(I33:I34)</f>
        <v>0</v>
      </c>
      <c r="J32" s="582">
        <f>SUM(J33:J34)</f>
        <v>0</v>
      </c>
      <c r="K32" s="292" t="s">
        <v>747</v>
      </c>
      <c r="L32" s="546"/>
      <c r="M32" s="1639"/>
      <c r="N32" s="1639"/>
      <c r="S32" s="1639"/>
      <c r="V32" s="547"/>
      <c r="AB32" s="1635"/>
      <c r="AC32" s="1635"/>
      <c r="AD32" s="1635"/>
      <c r="AE32" s="1635"/>
      <c r="AF32" s="1635"/>
      <c r="AG32" s="1163">
        <v>34</v>
      </c>
    </row>
    <row s="1645" customFormat="1" customHeight="1" ht="1.05">
      <c r="A33" s="1170"/>
      <c r="D33" s="551"/>
      <c r="E33" s="805" t="str">
        <f>E32&amp;".0"</f>
        <v>2.8.0</v>
      </c>
      <c r="F33" s="994"/>
      <c r="G33" s="554"/>
      <c r="H33" s="995"/>
      <c r="I33" s="995"/>
      <c r="J33" s="995"/>
      <c r="K33" s="996"/>
      <c r="AG33" s="1639">
        <v>1</v>
      </c>
    </row>
    <row s="1369" customFormat="1" customHeight="1" ht="19.95">
      <c r="A34" s="990"/>
      <c r="C34" s="1639"/>
      <c r="D34" s="1636"/>
      <c r="E34" s="573"/>
      <c r="F34" s="1668" t="s">
        <v>579</v>
      </c>
      <c r="G34" s="575"/>
      <c r="H34" s="576"/>
      <c r="I34" s="576"/>
      <c r="J34" s="2675"/>
      <c r="K34" s="304" t="s">
        <v>748</v>
      </c>
      <c r="L34" s="546"/>
      <c r="M34" s="1639"/>
      <c r="N34" s="1639"/>
      <c r="S34" s="1639"/>
      <c r="V34" s="547"/>
      <c r="AB34" s="1635"/>
      <c r="AC34" s="1635"/>
      <c r="AD34" s="1635"/>
      <c r="AE34" s="1635"/>
      <c r="AF34" s="1635"/>
      <c r="AG34" s="1163">
        <v>19</v>
      </c>
    </row>
    <row customHeight="1" ht="60">
      <c r="D35" s="1641"/>
      <c r="E35" s="1677" t="s">
        <v>749</v>
      </c>
      <c r="F35" s="957" t="s">
        <v>750</v>
      </c>
      <c r="G35" s="1657" t="s">
        <v>551</v>
      </c>
      <c r="H35" s="1678"/>
      <c r="I35" s="1678"/>
      <c r="J35" s="1678"/>
      <c r="K35" s="292" t="s">
        <v>751</v>
      </c>
      <c r="L35" s="546"/>
      <c r="AG35" s="1634">
        <v>57</v>
      </c>
    </row>
    <row customHeight="1" ht="19.95">
      <c r="B36" s="1369"/>
      <c r="D36" s="2078"/>
      <c r="E36" s="1677" t="s">
        <v>752</v>
      </c>
      <c r="F36" s="2082" t="s">
        <v>753</v>
      </c>
      <c r="G36" s="2077" t="s">
        <v>551</v>
      </c>
      <c r="H36" s="2083"/>
      <c r="I36" s="2083"/>
      <c r="J36" s="2083"/>
      <c r="K36" s="2084" t="s">
        <v>754</v>
      </c>
      <c r="L36" s="546"/>
      <c r="O36" s="1369"/>
      <c r="P36" s="1369"/>
      <c r="Q36" s="1369"/>
      <c r="R36" s="1369"/>
      <c r="T36" s="1369"/>
      <c r="U36" s="1369"/>
      <c r="W36" s="1369"/>
      <c r="X36" s="1369"/>
      <c r="Y36" s="1369"/>
      <c r="Z36" s="1369"/>
      <c r="AA36" s="1369"/>
      <c r="AG36" s="1634">
        <v>19</v>
      </c>
    </row>
    <row customHeight="1" ht="19.95">
      <c r="B37" s="1369"/>
      <c r="D37" s="2078"/>
      <c r="E37" s="1677" t="s">
        <v>755</v>
      </c>
      <c r="F37" s="2082" t="s">
        <v>756</v>
      </c>
      <c r="G37" s="2077" t="s">
        <v>551</v>
      </c>
      <c r="H37" s="2083"/>
      <c r="I37" s="2083"/>
      <c r="J37" s="2083"/>
      <c r="K37" s="2084" t="s">
        <v>757</v>
      </c>
      <c r="L37" s="546"/>
      <c r="O37" s="1369"/>
      <c r="P37" s="1369"/>
      <c r="Q37" s="1369"/>
      <c r="R37" s="1369"/>
      <c r="T37" s="1369"/>
      <c r="U37" s="1369"/>
      <c r="W37" s="1369"/>
      <c r="X37" s="1369"/>
      <c r="Y37" s="1369"/>
      <c r="Z37" s="1369"/>
      <c r="AA37" s="1369"/>
      <c r="AG37" s="1634">
        <v>19</v>
      </c>
    </row>
    <row s="1369" customFormat="1" customHeight="1" ht="24">
      <c r="A38" s="992" t="s">
        <v>580</v>
      </c>
      <c r="C38" s="1639"/>
      <c r="D38" s="1641"/>
      <c r="E38" s="1667" t="s">
        <v>90</v>
      </c>
      <c r="F38" s="710" t="s">
        <v>758</v>
      </c>
      <c r="G38" s="1646" t="s">
        <v>551</v>
      </c>
      <c r="H38" s="560"/>
      <c r="I38" s="560"/>
      <c r="J38" s="560"/>
      <c r="K38" s="292" t="s">
        <v>759</v>
      </c>
      <c r="L38" s="546"/>
      <c r="M38" s="1639"/>
      <c r="N38" s="1639"/>
      <c r="S38" s="1639"/>
      <c r="V38" s="547"/>
      <c r="AB38" s="1635"/>
      <c r="AC38" s="1635"/>
      <c r="AD38" s="1635"/>
      <c r="AE38" s="1635"/>
      <c r="AF38" s="1635"/>
      <c r="AG38" s="1163">
        <v>23</v>
      </c>
    </row>
    <row s="1369" customFormat="1" customHeight="1" ht="35.699999999999996">
      <c r="A39" s="992"/>
      <c r="C39" s="1639"/>
      <c r="D39" s="1641"/>
      <c r="E39" s="1667" t="s">
        <v>325</v>
      </c>
      <c r="F39" s="957" t="s">
        <v>760</v>
      </c>
      <c r="G39" s="1657"/>
      <c r="H39" s="560"/>
      <c r="I39" s="560"/>
      <c r="J39" s="560"/>
      <c r="K39" s="292"/>
      <c r="L39" s="546"/>
      <c r="M39" s="1639"/>
      <c r="N39" s="1639"/>
      <c r="S39" s="1639"/>
      <c r="V39" s="547"/>
      <c r="AB39" s="1635"/>
      <c r="AC39" s="1635"/>
      <c r="AD39" s="1635"/>
      <c r="AE39" s="1635"/>
      <c r="AF39" s="1635"/>
      <c r="AG39" s="1163">
        <v>34</v>
      </c>
    </row>
    <row s="1369" customFormat="1" customHeight="1" ht="19.95">
      <c r="A40" s="990"/>
      <c r="C40" s="1639"/>
      <c r="D40" s="578"/>
      <c r="E40" s="1667" t="s">
        <v>91</v>
      </c>
      <c r="F40" s="710" t="s">
        <v>761</v>
      </c>
      <c r="G40" s="1646" t="s">
        <v>551</v>
      </c>
      <c r="H40" s="560"/>
      <c r="I40" s="560"/>
      <c r="J40" s="560"/>
      <c r="K40" s="292" t="s">
        <v>762</v>
      </c>
      <c r="L40" s="546"/>
      <c r="M40" s="1639"/>
      <c r="N40" s="1639"/>
      <c r="S40" s="1639"/>
      <c r="V40" s="547"/>
      <c r="AB40" s="1635"/>
      <c r="AC40" s="1635"/>
      <c r="AD40" s="1635"/>
      <c r="AE40" s="1635"/>
      <c r="AF40" s="1635"/>
      <c r="AG40" s="1163">
        <v>19</v>
      </c>
    </row>
    <row s="1369" customFormat="1" customHeight="1" ht="24">
      <c r="A41" s="990"/>
      <c r="C41" s="1639"/>
      <c r="D41" s="578"/>
      <c r="E41" s="1667" t="s">
        <v>763</v>
      </c>
      <c r="F41" s="957" t="s">
        <v>764</v>
      </c>
      <c r="G41" s="1657" t="s">
        <v>551</v>
      </c>
      <c r="H41" s="560"/>
      <c r="I41" s="560"/>
      <c r="J41" s="560"/>
      <c r="K41" s="292" t="s">
        <v>765</v>
      </c>
      <c r="L41" s="546"/>
      <c r="M41" s="1639"/>
      <c r="N41" s="1639"/>
      <c r="S41" s="1639"/>
      <c r="V41" s="547"/>
      <c r="AB41" s="1635"/>
      <c r="AC41" s="1635"/>
      <c r="AD41" s="1635"/>
      <c r="AE41" s="1635"/>
      <c r="AF41" s="1635"/>
      <c r="AG41" s="1163">
        <v>23</v>
      </c>
    </row>
    <row s="1369" customFormat="1" customHeight="1" ht="24">
      <c r="A42" s="990"/>
      <c r="C42" s="1639"/>
      <c r="D42" s="1641"/>
      <c r="E42" s="1667" t="s">
        <v>766</v>
      </c>
      <c r="F42" s="1653" t="s">
        <v>767</v>
      </c>
      <c r="G42" s="1646" t="s">
        <v>551</v>
      </c>
      <c r="H42" s="560"/>
      <c r="I42" s="560"/>
      <c r="J42" s="560"/>
      <c r="K42" s="292" t="s">
        <v>768</v>
      </c>
      <c r="L42" s="546"/>
      <c r="M42" s="1639"/>
      <c r="N42" s="1639"/>
      <c r="S42" s="1639"/>
      <c r="V42" s="547"/>
      <c r="AB42" s="1635"/>
      <c r="AC42" s="1635"/>
      <c r="AD42" s="1635"/>
      <c r="AE42" s="1635"/>
      <c r="AF42" s="1635"/>
      <c r="AG42" s="1163">
        <v>23</v>
      </c>
    </row>
    <row s="1369" customFormat="1" customHeight="1" ht="24">
      <c r="A43" s="990"/>
      <c r="C43" s="1639"/>
      <c r="D43" s="1641"/>
      <c r="E43" s="1667" t="s">
        <v>769</v>
      </c>
      <c r="F43" s="1653" t="s">
        <v>770</v>
      </c>
      <c r="G43" s="1646" t="s">
        <v>551</v>
      </c>
      <c r="H43" s="560"/>
      <c r="I43" s="560"/>
      <c r="J43" s="560"/>
      <c r="K43" s="292" t="s">
        <v>771</v>
      </c>
      <c r="L43" s="546"/>
      <c r="M43" s="1639"/>
      <c r="N43" s="1639"/>
      <c r="S43" s="1639"/>
      <c r="V43" s="547"/>
      <c r="AB43" s="1635"/>
      <c r="AC43" s="1635"/>
      <c r="AD43" s="1635"/>
      <c r="AE43" s="1635"/>
      <c r="AF43" s="1635"/>
      <c r="AG43" s="1163">
        <v>23</v>
      </c>
    </row>
    <row s="1369" customFormat="1" customHeight="1" ht="24">
      <c r="A44" s="990"/>
      <c r="C44" s="1639"/>
      <c r="D44" s="1641"/>
      <c r="E44" s="1667" t="s">
        <v>772</v>
      </c>
      <c r="F44" s="1653" t="s">
        <v>773</v>
      </c>
      <c r="G44" s="1646" t="s">
        <v>551</v>
      </c>
      <c r="H44" s="560"/>
      <c r="I44" s="560"/>
      <c r="J44" s="560"/>
      <c r="K44" s="292" t="s">
        <v>774</v>
      </c>
      <c r="L44" s="546"/>
      <c r="M44" s="1639"/>
      <c r="N44" s="1639"/>
      <c r="S44" s="1639"/>
      <c r="V44" s="547"/>
      <c r="AB44" s="1635"/>
      <c r="AC44" s="1635"/>
      <c r="AD44" s="1635"/>
      <c r="AE44" s="1635"/>
      <c r="AF44" s="1635"/>
      <c r="AG44" s="1163">
        <v>23</v>
      </c>
    </row>
    <row s="1369" customFormat="1" customHeight="1" ht="35.699999999999996">
      <c r="A45" s="990"/>
      <c r="C45" s="1639" t="s">
        <v>582</v>
      </c>
      <c r="D45" s="1641"/>
      <c r="E45" s="1667" t="s">
        <v>110</v>
      </c>
      <c r="F45" s="710" t="s">
        <v>633</v>
      </c>
      <c r="G45" s="1649" t="s">
        <v>775</v>
      </c>
      <c r="H45" s="2662"/>
      <c r="I45" s="2662"/>
      <c r="J45" s="2662"/>
      <c r="K45" s="292" t="s">
        <v>776</v>
      </c>
      <c r="L45" s="546"/>
      <c r="M45" s="1639"/>
      <c r="N45" s="1639"/>
      <c r="S45" s="1639"/>
      <c r="V45" s="547"/>
      <c r="AB45" s="1635"/>
      <c r="AC45" s="1635"/>
      <c r="AD45" s="1635"/>
      <c r="AE45" s="1635"/>
      <c r="AF45" s="1635"/>
      <c r="AG45" s="1163">
        <v>34</v>
      </c>
    </row>
    <row s="1369" customFormat="1" customHeight="1" ht="35.699999999999996">
      <c r="A46" s="990"/>
      <c r="C46" s="1639"/>
      <c r="D46" s="1641"/>
      <c r="E46" s="1667" t="s">
        <v>92</v>
      </c>
      <c r="F46" s="710" t="s">
        <v>777</v>
      </c>
      <c r="G46" s="1646" t="s">
        <v>778</v>
      </c>
      <c r="H46" s="548"/>
      <c r="I46" s="548"/>
      <c r="J46" s="548"/>
      <c r="K46" s="292" t="s">
        <v>779</v>
      </c>
      <c r="L46" s="546"/>
      <c r="M46" s="1639"/>
      <c r="N46" s="1639"/>
      <c r="S46" s="1639"/>
      <c r="V46" s="547"/>
      <c r="AB46" s="1635"/>
      <c r="AC46" s="1635"/>
      <c r="AD46" s="1635"/>
      <c r="AE46" s="1635"/>
      <c r="AF46" s="1635"/>
      <c r="AG46" s="1163">
        <v>34</v>
      </c>
    </row>
    <row s="1369" customFormat="1" customHeight="1" ht="24">
      <c r="A47" s="990"/>
      <c r="C47" s="1639"/>
      <c r="D47" s="1641"/>
      <c r="E47" s="1667" t="s">
        <v>93</v>
      </c>
      <c r="F47" s="710" t="s">
        <v>780</v>
      </c>
      <c r="G47" s="1657" t="s">
        <v>781</v>
      </c>
      <c r="H47" s="548"/>
      <c r="I47" s="548"/>
      <c r="J47" s="548"/>
      <c r="K47" s="292" t="s">
        <v>782</v>
      </c>
      <c r="L47" s="546"/>
      <c r="M47" s="1639"/>
      <c r="N47" s="1639"/>
      <c r="S47" s="1639"/>
      <c r="V47" s="547"/>
      <c r="AB47" s="1635"/>
      <c r="AC47" s="1635"/>
      <c r="AD47" s="1635"/>
      <c r="AE47" s="1635"/>
      <c r="AF47" s="1635"/>
      <c r="AG47" s="1163">
        <v>23</v>
      </c>
    </row>
    <row s="1369" customFormat="1" customHeight="1" ht="19.95">
      <c r="A48" s="990"/>
      <c r="C48" s="1639"/>
      <c r="D48" s="1641"/>
      <c r="E48" s="1667" t="s">
        <v>111</v>
      </c>
      <c r="F48" s="710" t="s">
        <v>783</v>
      </c>
      <c r="G48" s="1646" t="s">
        <v>593</v>
      </c>
      <c r="H48" s="580"/>
      <c r="I48" s="580"/>
      <c r="J48" s="580"/>
      <c r="K48" s="292"/>
      <c r="L48" s="546"/>
      <c r="M48" s="1639"/>
      <c r="N48" s="1639"/>
      <c r="S48" s="1639"/>
      <c r="V48" s="547"/>
      <c r="AB48" s="1635"/>
      <c r="AC48" s="1635"/>
      <c r="AD48" s="1635"/>
      <c r="AE48" s="1635"/>
      <c r="AF48" s="1635"/>
      <c r="AG48" s="1163">
        <v>19</v>
      </c>
    </row>
    <row customHeight="1" ht="11.549999999999999">
      <c r="D49" s="1641"/>
      <c r="J49" s="1638"/>
      <c r="AG49" s="163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H52" s="569"/>
      <c r="I52" s="569"/>
      <c r="J52" s="625"/>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customHeight="1" ht="11.549999999999999">
      <c r="J205" s="1638"/>
      <c r="AG205" s="1634">
        <v>11</v>
      </c>
    </row>
    <row customHeight="1" ht="11.549999999999999">
      <c r="J206" s="1638"/>
      <c r="AG206" s="1634">
        <v>11</v>
      </c>
    </row>
    <row customHeight="1" ht="11.549999999999999">
      <c r="J207" s="1638"/>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549999999999999">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549999999999999">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549999999999999">
      <c r="A217" s="993"/>
      <c r="B217" s="1634"/>
      <c r="D217" s="1634"/>
      <c r="J217" s="1638"/>
      <c r="L217" s="1634"/>
      <c r="O217" s="1634"/>
      <c r="P217" s="1634"/>
      <c r="Q217" s="1634"/>
      <c r="R217" s="1634"/>
      <c r="T217" s="1634"/>
      <c r="U217" s="1634"/>
      <c r="V217" s="1634"/>
      <c r="W217" s="1634"/>
      <c r="X217" s="1634"/>
      <c r="Y217" s="1634"/>
      <c r="Z217" s="1634"/>
      <c r="AA217" s="1634"/>
      <c r="AB217" s="1634"/>
      <c r="AC217" s="1634"/>
      <c r="AD217" s="1634"/>
      <c r="AE217" s="1634"/>
      <c r="AF217" s="1634"/>
      <c r="AG217" s="1634">
        <v>11</v>
      </c>
    </row>
    <row customHeight="1" ht="11.549999999999999">
      <c r="A218" s="993"/>
      <c r="B218" s="1634"/>
      <c r="D218" s="1634"/>
      <c r="J218" s="1638"/>
      <c r="L218" s="1634"/>
      <c r="O218" s="1634"/>
      <c r="P218" s="1634"/>
      <c r="Q218" s="1634"/>
      <c r="R218" s="1634"/>
      <c r="T218" s="1634"/>
      <c r="U218" s="1634"/>
      <c r="V218" s="1634"/>
      <c r="W218" s="1634"/>
      <c r="X218" s="1634"/>
      <c r="Y218" s="1634"/>
      <c r="Z218" s="1634"/>
      <c r="AA218" s="1634"/>
      <c r="AB218" s="1634"/>
      <c r="AC218" s="1634"/>
      <c r="AD218" s="1634"/>
      <c r="AE218" s="1634"/>
      <c r="AF218" s="1634"/>
      <c r="AG218" s="1634">
        <v>11</v>
      </c>
    </row>
    <row customHeight="1" ht="11.25" hidden="1">
      <c r="A219" s="990" t="s">
        <v>82</v>
      </c>
      <c r="B219" s="1163">
        <v>0</v>
      </c>
      <c r="C219" s="1639">
        <v>0</v>
      </c>
      <c r="D219" s="1638">
        <v>3</v>
      </c>
      <c r="E219" s="1634">
        <v>7</v>
      </c>
      <c r="F219" s="1634">
        <v>56</v>
      </c>
      <c r="G219" s="1634">
        <v>10</v>
      </c>
      <c r="H219" s="1634">
        <v>0</v>
      </c>
      <c r="I219" s="1634">
        <v>40</v>
      </c>
      <c r="J219" s="1638">
        <v>0</v>
      </c>
      <c r="K219" s="1634">
        <v>102</v>
      </c>
      <c r="L219" s="1163">
        <v>9</v>
      </c>
      <c r="M219" s="1639">
        <v>5</v>
      </c>
      <c r="N219" s="1639">
        <v>3</v>
      </c>
      <c r="O219" s="1163">
        <v>3</v>
      </c>
      <c r="P219" s="1163">
        <v>3</v>
      </c>
      <c r="Q219" s="1163">
        <v>3</v>
      </c>
      <c r="R219" s="1163">
        <v>3</v>
      </c>
      <c r="S219" s="1639">
        <v>10</v>
      </c>
      <c r="T219" s="1163">
        <v>34</v>
      </c>
      <c r="U219" s="1163">
        <v>9</v>
      </c>
      <c r="V219" s="547">
        <v>8</v>
      </c>
      <c r="W219" s="1163">
        <v>8</v>
      </c>
      <c r="X219" s="1163">
        <v>8</v>
      </c>
      <c r="Y219" s="1163">
        <v>8</v>
      </c>
      <c r="Z219" s="1163">
        <v>8</v>
      </c>
      <c r="AA219" s="1163">
        <v>8</v>
      </c>
      <c r="AB219" s="1635">
        <v>8</v>
      </c>
      <c r="AC219" s="1635">
        <v>8</v>
      </c>
      <c r="AD219" s="1635">
        <v>8</v>
      </c>
      <c r="AE219" s="1635">
        <v>8</v>
      </c>
      <c r="AF219" s="1635">
        <v>8</v>
      </c>
      <c r="AG219" s="163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C5221-40B2-921B-E4B2-0.9F093503}" mc:Ignorable="x14ac xr xr2 xr3">
  <sheetPr>
    <tabColor theme="9" tint="-0.25"/>
  </sheetPr>
  <dimension ref="A1:AG215"/>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551</v>
      </c>
      <c r="H2" s="544"/>
      <c r="I2" s="544"/>
      <c r="J2" s="754"/>
      <c r="K2" s="545" t="s">
        <v>554</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3.75">
      <c r="E6" s="2270" t="s">
        <v>784</v>
      </c>
      <c r="F6" s="2270"/>
      <c r="G6" s="2270"/>
      <c r="H6" s="2270"/>
      <c r="I6" s="2270"/>
      <c r="J6" s="2270"/>
      <c r="K6" s="559"/>
      <c r="AG6" s="1634">
        <v>32</v>
      </c>
    </row>
    <row customHeight="1" ht="25.2">
      <c r="E7" s="2271" t="str">
        <f>IF(org=0,"Не определено",org)</f>
        <v>АО "Водоканал"</v>
      </c>
      <c r="F7" s="2271"/>
      <c r="G7" s="2271"/>
      <c r="H7" s="2271"/>
      <c r="I7" s="2271"/>
      <c r="J7" s="2271"/>
      <c r="AG7" s="1634">
        <v>24</v>
      </c>
    </row>
    <row customHeight="1" ht="11.549999999999999">
      <c r="E8" s="1138"/>
      <c r="F8" s="1138"/>
      <c r="G8" s="1138"/>
      <c r="H8" s="1138"/>
      <c r="I8" s="1138"/>
      <c r="J8" s="1139" t="s">
        <v>22</v>
      </c>
      <c r="AG8" s="1634">
        <v>11</v>
      </c>
    </row>
    <row s="1645" customFormat="1" customHeight="1" ht="1.05">
      <c r="A9" s="1170"/>
      <c r="D9" s="1645"/>
      <c r="H9" s="892"/>
      <c r="I9" s="892" t="s">
        <v>116</v>
      </c>
      <c r="J9" s="892" t="s">
        <v>122</v>
      </c>
      <c r="AG9" s="1639">
        <v>1</v>
      </c>
    </row>
    <row customHeight="1" ht="11.549999999999999">
      <c r="E10" s="714"/>
      <c r="F10" s="2389" t="s">
        <v>105</v>
      </c>
      <c r="G10" s="2390"/>
      <c r="H10" s="1662" t="str">
        <f>IF(H9="","",INDEX(DIFFERENTIATION_UNMERGE_VD,MATCH(H9,DIFFERENTIATION_ID_DIFF,0)))</f>
        <v/>
      </c>
      <c r="I10" s="1662" t="str">
        <f>IF(I9="","",INDEX(DIFFERENTIATION_UNMERGE_VD,MATCH(I9,DIFFERENTIATION_ID_DIFF,0)))</f>
        <v>Холодное водоснабжение. Питьевая вода</v>
      </c>
      <c r="J10" s="2415" t="str">
        <f>IF(J9="","",INDEX(DIFFERENTIATION_UNMERGE_VD,MATCH(J9,DIFFERENTIATION_ID_DIFF,0)))</f>
        <v>Подключение (технологическое присоединение) к централизованной системе водоснабжения</v>
      </c>
      <c r="K10" s="2149" t="s">
        <v>302</v>
      </c>
      <c r="AG10" s="1634">
        <v>11</v>
      </c>
    </row>
    <row customHeight="1" ht="11.549999999999999">
      <c r="E11" s="714"/>
      <c r="F11" s="2389" t="s">
        <v>563</v>
      </c>
      <c r="G11" s="2390"/>
      <c r="H11" s="1662" t="str">
        <f>IF(H9="","",INDEX(DIFFERENTIATION_UNMERGE_AREA,MATCH(H9,DIFFERENTIATION_ID_DIFF,0)))</f>
        <v/>
      </c>
      <c r="I11" s="1662" t="str">
        <f>IF(I9="","",INDEX(DIFFERENTIATION_UNMERGE_AREA,MATCH(I9,DIFFERENTIATION_ID_DIFF,0)))</f>
        <v>без дифференциации</v>
      </c>
      <c r="J11" s="2415" t="str">
        <f>IF(J9="","",INDEX(DIFFERENTIATION_UNMERGE_AREA,MATCH(J9,DIFFERENTIATION_ID_DIFF,0)))</f>
        <v>без дифференциации</v>
      </c>
      <c r="K11" s="2149"/>
      <c r="AG11" s="1634">
        <v>11</v>
      </c>
    </row>
    <row customHeight="1" ht="11.25" hidden="1">
      <c r="E12" s="1665"/>
      <c r="F12" s="2412" t="s">
        <v>564</v>
      </c>
      <c r="G12" s="2413"/>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49"/>
      <c r="AG12" s="1634">
        <v>0</v>
      </c>
    </row>
    <row customHeight="1" ht="11.549999999999999">
      <c r="E13" s="2391" t="s">
        <v>301</v>
      </c>
      <c r="F13" s="2392"/>
      <c r="G13" s="2392"/>
      <c r="H13" s="1659"/>
      <c r="I13" s="1659"/>
      <c r="J13" s="2389"/>
      <c r="K13" s="2149"/>
      <c r="AG13" s="1634">
        <v>11</v>
      </c>
    </row>
    <row customHeight="1" ht="24">
      <c r="E14" s="1660" t="s">
        <v>88</v>
      </c>
      <c r="F14" s="1663" t="s">
        <v>303</v>
      </c>
      <c r="G14" s="1663" t="s">
        <v>565</v>
      </c>
      <c r="H14" s="1663" t="s">
        <v>304</v>
      </c>
      <c r="I14" s="1663" t="s">
        <v>304</v>
      </c>
      <c r="J14" s="2388" t="s">
        <v>304</v>
      </c>
      <c r="K14" s="2149"/>
      <c r="AG14" s="1634">
        <v>23</v>
      </c>
    </row>
    <row customHeight="1" ht="19.95">
      <c r="D15" s="1641"/>
      <c r="E15" s="1633" t="s">
        <v>99</v>
      </c>
      <c r="F15" s="710" t="s">
        <v>785</v>
      </c>
      <c r="G15" s="1660" t="s">
        <v>551</v>
      </c>
      <c r="H15" s="560"/>
      <c r="I15" s="560"/>
      <c r="J15" s="560"/>
      <c r="K15" s="292" t="s">
        <v>786</v>
      </c>
      <c r="L15" s="546" t="s">
        <v>634</v>
      </c>
      <c r="AG15" s="1634">
        <v>19</v>
      </c>
    </row>
    <row customHeight="1" ht="24">
      <c r="D16" s="1641"/>
      <c r="E16" s="1633" t="s">
        <v>109</v>
      </c>
      <c r="F16" s="2087" t="s">
        <v>787</v>
      </c>
      <c r="G16" s="1660" t="s">
        <v>551</v>
      </c>
      <c r="H16" s="561">
        <f>SUM(H17,H20:H27)</f>
        <v>0</v>
      </c>
      <c r="I16" s="561">
        <f>SUM(I17,I20:I27)</f>
        <v>0</v>
      </c>
      <c r="J16" s="561">
        <f>SUM(J17,J20:J27)</f>
        <v>0</v>
      </c>
      <c r="K16" s="2084" t="s">
        <v>788</v>
      </c>
      <c r="L16" s="546" t="s">
        <v>634</v>
      </c>
      <c r="AG16" s="1634">
        <v>23</v>
      </c>
    </row>
    <row customHeight="1" ht="35.699999999999996">
      <c r="D17" s="1641"/>
      <c r="E17" s="1667" t="s">
        <v>712</v>
      </c>
      <c r="F17" s="1669" t="s">
        <v>789</v>
      </c>
      <c r="G17" s="1657" t="s">
        <v>551</v>
      </c>
      <c r="H17" s="560"/>
      <c r="I17" s="560"/>
      <c r="J17" s="560"/>
      <c r="K17" s="292" t="s">
        <v>790</v>
      </c>
      <c r="L17" s="546"/>
      <c r="AG17" s="1634">
        <v>34</v>
      </c>
    </row>
    <row customHeight="1" ht="19.95">
      <c r="D18" s="1641"/>
      <c r="E18" s="1667" t="s">
        <v>715</v>
      </c>
      <c r="F18" s="1670" t="s">
        <v>791</v>
      </c>
      <c r="G18" s="1657" t="s">
        <v>551</v>
      </c>
      <c r="H18" s="560"/>
      <c r="I18" s="560"/>
      <c r="J18" s="560"/>
      <c r="K18" s="292"/>
      <c r="L18" s="546"/>
      <c r="AG18" s="1634">
        <v>19</v>
      </c>
    </row>
    <row customHeight="1" ht="24">
      <c r="D19" s="1641"/>
      <c r="E19" s="1667" t="s">
        <v>718</v>
      </c>
      <c r="F19" s="1670" t="s">
        <v>792</v>
      </c>
      <c r="G19" s="1657" t="s">
        <v>551</v>
      </c>
      <c r="H19" s="560"/>
      <c r="I19" s="560"/>
      <c r="J19" s="560"/>
      <c r="K19" s="292"/>
      <c r="L19" s="546"/>
      <c r="AG19" s="1634">
        <v>23</v>
      </c>
    </row>
    <row customHeight="1" ht="35.699999999999996">
      <c r="D20" s="1641"/>
      <c r="E20" s="1667" t="s">
        <v>308</v>
      </c>
      <c r="F20" s="1669" t="s">
        <v>793</v>
      </c>
      <c r="G20" s="1657" t="s">
        <v>551</v>
      </c>
      <c r="H20" s="560"/>
      <c r="I20" s="560"/>
      <c r="J20" s="560"/>
      <c r="K20" s="292"/>
      <c r="L20" s="546"/>
      <c r="AG20" s="1634">
        <v>34</v>
      </c>
    </row>
    <row customHeight="1" ht="48.29999999999999">
      <c r="D21" s="1641"/>
      <c r="E21" s="1667" t="s">
        <v>311</v>
      </c>
      <c r="F21" s="1669" t="s">
        <v>794</v>
      </c>
      <c r="G21" s="1657" t="s">
        <v>551</v>
      </c>
      <c r="H21" s="560"/>
      <c r="I21" s="560"/>
      <c r="J21" s="560"/>
      <c r="K21" s="292"/>
      <c r="L21" s="546"/>
      <c r="AG21" s="1634">
        <v>46</v>
      </c>
    </row>
    <row customHeight="1" ht="60">
      <c r="D22" s="1641"/>
      <c r="E22" s="1667" t="s">
        <v>732</v>
      </c>
      <c r="F22" s="1669" t="s">
        <v>795</v>
      </c>
      <c r="G22" s="1657" t="s">
        <v>551</v>
      </c>
      <c r="H22" s="560"/>
      <c r="I22" s="560"/>
      <c r="J22" s="560"/>
      <c r="K22" s="292"/>
      <c r="L22" s="546"/>
      <c r="AG22" s="1634">
        <v>57</v>
      </c>
    </row>
    <row customHeight="1" ht="35.699999999999996">
      <c r="D23" s="1641"/>
      <c r="E23" s="1667" t="s">
        <v>739</v>
      </c>
      <c r="F23" s="1669" t="s">
        <v>796</v>
      </c>
      <c r="G23" s="1657" t="s">
        <v>551</v>
      </c>
      <c r="H23" s="560"/>
      <c r="I23" s="560"/>
      <c r="J23" s="560"/>
      <c r="K23" s="292"/>
      <c r="L23" s="546"/>
      <c r="AG23" s="1634">
        <v>34</v>
      </c>
    </row>
    <row customHeight="1" ht="35.699999999999996">
      <c r="D24" s="1641"/>
      <c r="E24" s="1667" t="s">
        <v>741</v>
      </c>
      <c r="F24" s="1669" t="s">
        <v>797</v>
      </c>
      <c r="G24" s="1657" t="s">
        <v>551</v>
      </c>
      <c r="H24" s="560"/>
      <c r="I24" s="560"/>
      <c r="J24" s="560"/>
      <c r="K24" s="292"/>
      <c r="L24" s="546"/>
      <c r="AG24" s="1634">
        <v>34</v>
      </c>
    </row>
    <row customHeight="1" ht="24">
      <c r="D25" s="1641"/>
      <c r="E25" s="1667" t="s">
        <v>743</v>
      </c>
      <c r="F25" s="1669" t="s">
        <v>798</v>
      </c>
      <c r="G25" s="1657" t="s">
        <v>551</v>
      </c>
      <c r="H25" s="560"/>
      <c r="I25" s="560"/>
      <c r="J25" s="560"/>
      <c r="K25" s="292"/>
      <c r="L25" s="546"/>
      <c r="AG25" s="1634">
        <v>23</v>
      </c>
    </row>
    <row customHeight="1" ht="76.5">
      <c r="D26" s="1641"/>
      <c r="E26" s="1667" t="s">
        <v>745</v>
      </c>
      <c r="F26" s="1669" t="s">
        <v>799</v>
      </c>
      <c r="G26" s="1657" t="s">
        <v>551</v>
      </c>
      <c r="H26" s="560"/>
      <c r="I26" s="560"/>
      <c r="J26" s="560"/>
      <c r="K26" s="292"/>
      <c r="L26" s="546"/>
      <c r="AG26" s="1634">
        <v>73</v>
      </c>
    </row>
    <row s="1369" customFormat="1" customHeight="1" ht="35.699999999999996">
      <c r="A27" s="990"/>
      <c r="C27" s="1639"/>
      <c r="D27" s="1641"/>
      <c r="E27" s="1632" t="s">
        <v>749</v>
      </c>
      <c r="F27" s="1631" t="s">
        <v>800</v>
      </c>
      <c r="G27" s="1658" t="s">
        <v>551</v>
      </c>
      <c r="H27" s="582">
        <f>SUM(H28:H29)</f>
        <v>0</v>
      </c>
      <c r="I27" s="582">
        <f>SUM(I28:I29)</f>
        <v>0</v>
      </c>
      <c r="J27" s="582">
        <f>SUM(J28:J29)</f>
        <v>0</v>
      </c>
      <c r="K27" s="292" t="s">
        <v>747</v>
      </c>
      <c r="L27" s="546"/>
      <c r="M27" s="1639"/>
      <c r="N27" s="1639"/>
      <c r="S27" s="1639"/>
      <c r="V27" s="547"/>
      <c r="AB27" s="1635"/>
      <c r="AC27" s="1635"/>
      <c r="AD27" s="1635"/>
      <c r="AE27" s="1635"/>
      <c r="AF27" s="1635"/>
      <c r="AG27" s="1163">
        <v>34</v>
      </c>
    </row>
    <row s="1645" customFormat="1" customHeight="1" ht="1.05">
      <c r="A28" s="1170"/>
      <c r="D28" s="551"/>
      <c r="E28" s="805" t="str">
        <f>E27&amp;".0"</f>
        <v>2.9.0</v>
      </c>
      <c r="F28" s="994"/>
      <c r="G28" s="554"/>
      <c r="H28" s="995"/>
      <c r="I28" s="995"/>
      <c r="J28" s="995"/>
      <c r="K28" s="996"/>
      <c r="AG28" s="1639">
        <v>1</v>
      </c>
    </row>
    <row s="1369" customFormat="1" customHeight="1" ht="19.95">
      <c r="A29" s="990"/>
      <c r="C29" s="1639"/>
      <c r="D29" s="1636"/>
      <c r="E29" s="573"/>
      <c r="F29" s="1668" t="s">
        <v>579</v>
      </c>
      <c r="G29" s="575"/>
      <c r="H29" s="576"/>
      <c r="I29" s="576"/>
      <c r="J29" s="2676"/>
      <c r="K29" s="304" t="s">
        <v>748</v>
      </c>
      <c r="L29" s="546"/>
      <c r="M29" s="1639"/>
      <c r="N29" s="1639"/>
      <c r="S29" s="1639"/>
      <c r="V29" s="547"/>
      <c r="AB29" s="1635"/>
      <c r="AC29" s="1635"/>
      <c r="AD29" s="1635"/>
      <c r="AE29" s="1635"/>
      <c r="AF29" s="1635"/>
      <c r="AG29" s="1163">
        <v>19</v>
      </c>
    </row>
    <row customHeight="1" ht="76.5">
      <c r="B30" s="1369"/>
      <c r="D30" s="2078"/>
      <c r="E30" s="1667" t="s">
        <v>801</v>
      </c>
      <c r="F30" s="2086" t="s">
        <v>756</v>
      </c>
      <c r="G30" s="2077" t="s">
        <v>551</v>
      </c>
      <c r="H30" s="560"/>
      <c r="I30" s="560"/>
      <c r="J30" s="560"/>
      <c r="K30" s="2084" t="s">
        <v>802</v>
      </c>
      <c r="L30" s="546"/>
      <c r="O30" s="1369"/>
      <c r="P30" s="1369"/>
      <c r="Q30" s="1369"/>
      <c r="R30" s="1369"/>
      <c r="T30" s="1369"/>
      <c r="U30" s="1369"/>
      <c r="W30" s="1369"/>
      <c r="X30" s="1369"/>
      <c r="Y30" s="1369"/>
      <c r="Z30" s="1369"/>
      <c r="AA30" s="1369"/>
      <c r="AG30" s="1634">
        <v>73</v>
      </c>
    </row>
    <row s="1369" customFormat="1" customHeight="1" ht="24">
      <c r="A31" s="990"/>
      <c r="C31" s="1639"/>
      <c r="D31" s="1641"/>
      <c r="E31" s="1667" t="s">
        <v>90</v>
      </c>
      <c r="F31" s="1664" t="s">
        <v>803</v>
      </c>
      <c r="G31" s="1657" t="s">
        <v>551</v>
      </c>
      <c r="H31" s="560"/>
      <c r="I31" s="560"/>
      <c r="J31" s="560"/>
      <c r="K31" s="292"/>
      <c r="L31" s="546"/>
      <c r="M31" s="1639"/>
      <c r="N31" s="1639"/>
      <c r="S31" s="1639"/>
      <c r="V31" s="547"/>
      <c r="AB31" s="1635"/>
      <c r="AC31" s="1635"/>
      <c r="AD31" s="1635"/>
      <c r="AE31" s="1635"/>
      <c r="AF31" s="1635"/>
      <c r="AG31" s="1163">
        <v>23</v>
      </c>
    </row>
    <row s="1369" customFormat="1" customHeight="1" ht="35.699999999999996">
      <c r="A32" s="990"/>
      <c r="C32" s="1639"/>
      <c r="D32" s="578"/>
      <c r="E32" s="1667" t="s">
        <v>91</v>
      </c>
      <c r="F32" s="1664" t="s">
        <v>804</v>
      </c>
      <c r="G32" s="1657" t="s">
        <v>551</v>
      </c>
      <c r="H32" s="560"/>
      <c r="I32" s="560"/>
      <c r="J32" s="560"/>
      <c r="K32" s="292" t="s">
        <v>805</v>
      </c>
      <c r="L32" s="546"/>
      <c r="M32" s="1639"/>
      <c r="N32" s="1639"/>
      <c r="S32" s="1639"/>
      <c r="V32" s="547"/>
      <c r="AB32" s="1635"/>
      <c r="AC32" s="1635"/>
      <c r="AD32" s="1635"/>
      <c r="AE32" s="1635"/>
      <c r="AF32" s="1635"/>
      <c r="AG32" s="1163">
        <v>34</v>
      </c>
    </row>
    <row s="1369" customFormat="1" customHeight="1" ht="24">
      <c r="A33" s="990"/>
      <c r="C33" s="1639"/>
      <c r="D33" s="1641"/>
      <c r="E33" s="1667" t="s">
        <v>763</v>
      </c>
      <c r="F33" s="693" t="s">
        <v>767</v>
      </c>
      <c r="G33" s="1657" t="s">
        <v>551</v>
      </c>
      <c r="H33" s="560"/>
      <c r="I33" s="560"/>
      <c r="J33" s="560"/>
      <c r="K33" s="292" t="s">
        <v>806</v>
      </c>
      <c r="L33" s="546"/>
      <c r="M33" s="1639"/>
      <c r="N33" s="1639"/>
      <c r="S33" s="1639"/>
      <c r="V33" s="547"/>
      <c r="AB33" s="1635"/>
      <c r="AC33" s="1635"/>
      <c r="AD33" s="1635"/>
      <c r="AE33" s="1635"/>
      <c r="AF33" s="1635"/>
      <c r="AG33" s="1163">
        <v>23</v>
      </c>
    </row>
    <row s="1369" customFormat="1" customHeight="1" ht="24">
      <c r="A34" s="990"/>
      <c r="C34" s="1639"/>
      <c r="D34" s="1641"/>
      <c r="E34" s="1667" t="s">
        <v>807</v>
      </c>
      <c r="F34" s="693" t="s">
        <v>808</v>
      </c>
      <c r="G34" s="1657" t="s">
        <v>551</v>
      </c>
      <c r="H34" s="560"/>
      <c r="I34" s="560"/>
      <c r="J34" s="560"/>
      <c r="K34" s="292" t="s">
        <v>809</v>
      </c>
      <c r="L34" s="546"/>
      <c r="M34" s="1639"/>
      <c r="N34" s="1639"/>
      <c r="S34" s="1639"/>
      <c r="V34" s="547"/>
      <c r="AB34" s="1635"/>
      <c r="AC34" s="1635"/>
      <c r="AD34" s="1635"/>
      <c r="AE34" s="1635"/>
      <c r="AF34" s="1635"/>
      <c r="AG34" s="1163">
        <v>23</v>
      </c>
    </row>
    <row s="1369" customFormat="1" customHeight="1" ht="24">
      <c r="A35" s="990"/>
      <c r="C35" s="1639"/>
      <c r="D35" s="1641"/>
      <c r="E35" s="1667" t="s">
        <v>810</v>
      </c>
      <c r="F35" s="693" t="s">
        <v>773</v>
      </c>
      <c r="G35" s="1657" t="s">
        <v>551</v>
      </c>
      <c r="H35" s="560"/>
      <c r="I35" s="560"/>
      <c r="J35" s="560"/>
      <c r="K35" s="292" t="s">
        <v>811</v>
      </c>
      <c r="L35" s="546"/>
      <c r="M35" s="1639"/>
      <c r="N35" s="1639"/>
      <c r="S35" s="1639"/>
      <c r="V35" s="547"/>
      <c r="AB35" s="1635"/>
      <c r="AC35" s="1635"/>
      <c r="AD35" s="1635"/>
      <c r="AE35" s="1635"/>
      <c r="AF35" s="1635"/>
      <c r="AG35" s="1163">
        <v>23</v>
      </c>
    </row>
    <row s="1369" customFormat="1" customHeight="1" ht="35.699999999999996">
      <c r="A36" s="990"/>
      <c r="C36" s="1639" t="s">
        <v>582</v>
      </c>
      <c r="D36" s="1641"/>
      <c r="E36" s="1667" t="s">
        <v>110</v>
      </c>
      <c r="F36" s="1664" t="s">
        <v>633</v>
      </c>
      <c r="G36" s="1660" t="s">
        <v>307</v>
      </c>
      <c r="H36" s="2662"/>
      <c r="I36" s="2662"/>
      <c r="J36" s="2662"/>
      <c r="K36" s="292" t="s">
        <v>812</v>
      </c>
      <c r="L36" s="546"/>
      <c r="M36" s="1639"/>
      <c r="N36" s="1639"/>
      <c r="S36" s="1639"/>
      <c r="V36" s="547"/>
      <c r="AB36" s="1635"/>
      <c r="AC36" s="1635"/>
      <c r="AD36" s="1635"/>
      <c r="AE36" s="1635"/>
      <c r="AF36" s="1635"/>
      <c r="AG36" s="1163">
        <v>34</v>
      </c>
    </row>
    <row s="1369" customFormat="1" customHeight="1" ht="35.699999999999996">
      <c r="A37" s="990"/>
      <c r="C37" s="1639"/>
      <c r="D37" s="1641"/>
      <c r="E37" s="1667" t="s">
        <v>92</v>
      </c>
      <c r="F37" s="1664" t="s">
        <v>813</v>
      </c>
      <c r="G37" s="1657" t="s">
        <v>778</v>
      </c>
      <c r="H37" s="2085"/>
      <c r="I37" s="2085"/>
      <c r="J37" s="2085"/>
      <c r="K37" s="292" t="s">
        <v>779</v>
      </c>
      <c r="L37" s="546"/>
      <c r="M37" s="1639"/>
      <c r="N37" s="1639"/>
      <c r="S37" s="1639"/>
      <c r="V37" s="547"/>
      <c r="AB37" s="1635"/>
      <c r="AC37" s="1635"/>
      <c r="AD37" s="1635"/>
      <c r="AE37" s="1635"/>
      <c r="AF37" s="1635"/>
      <c r="AG37" s="1163">
        <v>34</v>
      </c>
    </row>
    <row s="1369" customFormat="1" customHeight="1" ht="33.75">
      <c r="A38" s="990"/>
      <c r="C38" s="1639"/>
      <c r="D38" s="2078"/>
      <c r="E38" s="1667" t="s">
        <v>656</v>
      </c>
      <c r="F38" s="2086" t="s">
        <v>814</v>
      </c>
      <c r="G38" s="2077" t="s">
        <v>778</v>
      </c>
      <c r="H38" s="548"/>
      <c r="I38" s="548"/>
      <c r="J38" s="548"/>
      <c r="K38" s="2084" t="s">
        <v>815</v>
      </c>
      <c r="L38" s="546"/>
      <c r="M38" s="1639"/>
      <c r="N38" s="1639"/>
      <c r="S38" s="1639"/>
      <c r="V38" s="547"/>
      <c r="AB38" s="1635"/>
      <c r="AC38" s="1635"/>
      <c r="AD38" s="1635"/>
      <c r="AE38" s="1635"/>
      <c r="AF38" s="1635"/>
    </row>
    <row s="1369" customFormat="1" customHeight="1" ht="33.75">
      <c r="A39" s="990"/>
      <c r="C39" s="1639"/>
      <c r="D39" s="2078"/>
      <c r="E39" s="1667" t="s">
        <v>660</v>
      </c>
      <c r="F39" s="2086" t="s">
        <v>816</v>
      </c>
      <c r="G39" s="2077" t="s">
        <v>778</v>
      </c>
      <c r="H39" s="548"/>
      <c r="I39" s="548"/>
      <c r="J39" s="548"/>
      <c r="K39" s="2084" t="s">
        <v>817</v>
      </c>
      <c r="L39" s="546"/>
      <c r="M39" s="1639"/>
      <c r="N39" s="1639"/>
      <c r="S39" s="1639"/>
      <c r="V39" s="547"/>
      <c r="AB39" s="1635"/>
      <c r="AC39" s="1635"/>
      <c r="AD39" s="1635"/>
      <c r="AE39" s="1635"/>
      <c r="AF39" s="1635"/>
    </row>
    <row s="1369" customFormat="1" customHeight="1" ht="24">
      <c r="A40" s="990"/>
      <c r="C40" s="1639"/>
      <c r="D40" s="1641"/>
      <c r="E40" s="1667" t="s">
        <v>93</v>
      </c>
      <c r="F40" s="1664" t="s">
        <v>818</v>
      </c>
      <c r="G40" s="1657" t="s">
        <v>781</v>
      </c>
      <c r="H40" s="2085"/>
      <c r="I40" s="2085"/>
      <c r="J40" s="2085"/>
      <c r="K40" s="292" t="s">
        <v>782</v>
      </c>
      <c r="L40" s="546"/>
      <c r="M40" s="1639"/>
      <c r="N40" s="1639"/>
      <c r="S40" s="1639"/>
      <c r="V40" s="547"/>
      <c r="AB40" s="1635"/>
      <c r="AC40" s="1635"/>
      <c r="AD40" s="1635"/>
      <c r="AE40" s="1635"/>
      <c r="AF40" s="1635"/>
      <c r="AG40" s="1163">
        <v>23</v>
      </c>
    </row>
    <row s="1369" customFormat="1" customHeight="1" ht="24">
      <c r="A41" s="990"/>
      <c r="C41" s="1639"/>
      <c r="D41" s="2078"/>
      <c r="E41" s="1667" t="s">
        <v>819</v>
      </c>
      <c r="F41" s="2086" t="s">
        <v>820</v>
      </c>
      <c r="G41" s="2077" t="s">
        <v>781</v>
      </c>
      <c r="H41" s="548"/>
      <c r="I41" s="548"/>
      <c r="J41" s="548"/>
      <c r="K41" s="2084" t="s">
        <v>821</v>
      </c>
      <c r="L41" s="546"/>
      <c r="M41" s="1639"/>
      <c r="N41" s="1639"/>
      <c r="S41" s="1639"/>
      <c r="V41" s="547"/>
      <c r="AB41" s="1635"/>
      <c r="AC41" s="1635"/>
      <c r="AD41" s="1635"/>
      <c r="AE41" s="1635"/>
      <c r="AF41" s="1635"/>
      <c r="AG41" s="1369">
        <v>23</v>
      </c>
    </row>
    <row s="1369" customFormat="1" customHeight="1" ht="24">
      <c r="A42" s="990"/>
      <c r="C42" s="1639"/>
      <c r="D42" s="2078"/>
      <c r="E42" s="1667" t="s">
        <v>822</v>
      </c>
      <c r="F42" s="2086" t="s">
        <v>823</v>
      </c>
      <c r="G42" s="2077" t="s">
        <v>781</v>
      </c>
      <c r="H42" s="548"/>
      <c r="I42" s="548"/>
      <c r="J42" s="548"/>
      <c r="K42" s="2084" t="s">
        <v>824</v>
      </c>
      <c r="L42" s="546"/>
      <c r="M42" s="1639"/>
      <c r="N42" s="1639"/>
      <c r="S42" s="1639"/>
      <c r="V42" s="547"/>
      <c r="AB42" s="1635"/>
      <c r="AC42" s="1635"/>
      <c r="AD42" s="1635"/>
      <c r="AE42" s="1635"/>
      <c r="AF42" s="1635"/>
      <c r="AG42" s="1369">
        <v>23</v>
      </c>
    </row>
    <row customHeight="1" ht="11.549999999999999">
      <c r="D43" s="1641"/>
      <c r="J43" s="1638"/>
      <c r="AG43" s="1634">
        <v>11</v>
      </c>
    </row>
    <row customHeight="1" ht="27.299999999999997">
      <c r="D44" s="1641"/>
      <c r="E44" s="1256" t="s">
        <v>825</v>
      </c>
      <c r="F44" s="2307" t="s">
        <v>826</v>
      </c>
      <c r="G44" s="2307"/>
      <c r="H44" s="372"/>
      <c r="I44" s="372"/>
      <c r="J44" s="1689"/>
      <c r="K44" s="372"/>
      <c r="AG44" s="1634">
        <v>26</v>
      </c>
    </row>
    <row s="1644" customFormat="1" customHeight="1" ht="39.75">
      <c r="A45" s="990"/>
      <c r="B45" s="1639"/>
      <c r="C45" s="1639"/>
      <c r="D45" s="354"/>
      <c r="F45" s="2307" t="s">
        <v>827</v>
      </c>
      <c r="G45" s="2307"/>
      <c r="H45" s="372"/>
      <c r="I45" s="372"/>
      <c r="J45" s="1689"/>
      <c r="K45" s="372"/>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38</v>
      </c>
    </row>
    <row s="1644" customFormat="1" customHeight="1" ht="11.549999999999999">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549999999999999">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549999999999999">
      <c r="A48" s="990"/>
      <c r="B48" s="1639"/>
      <c r="C48" s="1639"/>
      <c r="D48" s="354"/>
      <c r="H48" s="569"/>
      <c r="I48" s="569"/>
      <c r="J48" s="625"/>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customHeight="1" ht="11.549999999999999">
      <c r="J201" s="1638"/>
      <c r="AG201" s="1634">
        <v>11</v>
      </c>
    </row>
    <row customHeight="1" ht="11.549999999999999">
      <c r="J202" s="1638"/>
      <c r="AG202" s="1634">
        <v>11</v>
      </c>
    </row>
    <row customHeight="1" ht="11.549999999999999">
      <c r="J203" s="1638"/>
      <c r="AG203" s="1634">
        <v>11</v>
      </c>
    </row>
    <row customHeight="1" ht="11.549999999999999">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549999999999999">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25" hidden="1">
      <c r="A215" s="990" t="s">
        <v>82</v>
      </c>
      <c r="B215" s="1163">
        <v>0</v>
      </c>
      <c r="C215" s="1639">
        <v>0</v>
      </c>
      <c r="D215" s="1638">
        <v>3</v>
      </c>
      <c r="E215" s="1634">
        <v>7</v>
      </c>
      <c r="F215" s="1634">
        <v>54</v>
      </c>
      <c r="G215" s="1634">
        <v>10</v>
      </c>
      <c r="H215" s="1634">
        <v>0</v>
      </c>
      <c r="I215" s="1634">
        <v>40</v>
      </c>
      <c r="J215" s="1638">
        <v>0</v>
      </c>
      <c r="K215" s="1634">
        <v>102</v>
      </c>
      <c r="L215" s="1163">
        <v>9</v>
      </c>
      <c r="M215" s="1639">
        <v>5</v>
      </c>
      <c r="N215" s="1639">
        <v>3</v>
      </c>
      <c r="O215" s="1163">
        <v>3</v>
      </c>
      <c r="P215" s="1163">
        <v>3</v>
      </c>
      <c r="Q215" s="1163">
        <v>3</v>
      </c>
      <c r="R215" s="1163">
        <v>3</v>
      </c>
      <c r="S215" s="1639">
        <v>10</v>
      </c>
      <c r="T215" s="1163">
        <v>34</v>
      </c>
      <c r="U215" s="1163">
        <v>9</v>
      </c>
      <c r="V215" s="547">
        <v>8</v>
      </c>
      <c r="W215" s="1163">
        <v>8</v>
      </c>
      <c r="X215" s="1163">
        <v>8</v>
      </c>
      <c r="Y215" s="1163">
        <v>8</v>
      </c>
      <c r="Z215" s="1163">
        <v>8</v>
      </c>
      <c r="AA215" s="1163">
        <v>8</v>
      </c>
      <c r="AB215" s="1635">
        <v>8</v>
      </c>
      <c r="AC215" s="1635">
        <v>8</v>
      </c>
      <c r="AD215" s="1635">
        <v>8</v>
      </c>
      <c r="AE215" s="1635">
        <v>8</v>
      </c>
      <c r="AF215" s="1635">
        <v>8</v>
      </c>
      <c r="AG215" s="1634">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FDA0B-B75E-112F-3106-0.CA9F34DC}" mc:Ignorable="x14ac xr xr2 xr3">
  <sheetPr>
    <tabColor theme="9" tint="-0.25"/>
  </sheetPr>
  <dimension ref="A1:Z102"/>
  <sheetViews>
    <sheetView topLeftCell="A1" showGridLines="0" zoomScale="90" workbookViewId="0">
      <selection activeCell="J61" sqref="J6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1"/>
      <c r="F3" s="2262"/>
      <c r="K3" s="1638"/>
      <c r="L3" s="1638"/>
      <c r="Z3" s="508">
        <v>75</v>
      </c>
    </row>
    <row s="1638" customFormat="1" customHeight="1" ht="21">
      <c r="A4" s="954"/>
      <c r="B4" s="514"/>
      <c r="D4" s="2236" t="str">
        <f>IF(org=0,"Не определено",org)</f>
        <v>АО "Водоканал"</v>
      </c>
      <c r="E4" s="2237"/>
      <c r="F4" s="2238"/>
      <c r="K4" s="1638"/>
      <c r="L4" s="1638"/>
      <c r="Z4" s="761">
        <v>20</v>
      </c>
    </row>
    <row customHeight="1" ht="11.549999999999999">
      <c r="C5" s="512"/>
      <c r="D5" s="591"/>
      <c r="E5" s="591"/>
      <c r="F5" s="591"/>
      <c r="G5" s="591"/>
      <c r="H5" s="755"/>
      <c r="I5" s="591"/>
      <c r="J5" s="755"/>
      <c r="K5" s="1638"/>
      <c r="L5" s="755"/>
      <c r="M5" s="591"/>
      <c r="Z5" s="508">
        <v>11</v>
      </c>
    </row>
    <row customHeight="1" ht="1.05">
      <c r="C6" s="512"/>
      <c r="D6" s="512"/>
      <c r="E6" s="525"/>
      <c r="F6" s="617"/>
      <c r="G6" s="1025"/>
      <c r="H6" s="1025"/>
      <c r="I6" s="1025" t="s">
        <v>116</v>
      </c>
      <c r="J6" s="1025"/>
      <c r="K6" s="1025" t="s">
        <v>122</v>
      </c>
      <c r="L6" s="1025"/>
      <c r="Z6" s="508">
        <v>1</v>
      </c>
    </row>
    <row customHeight="1" ht="11.549999999999999">
      <c r="D7" s="714"/>
      <c r="E7" s="2389" t="s">
        <v>105</v>
      </c>
      <c r="F7" s="2390"/>
      <c r="G7" s="2415" t="str">
        <f>IF(G6="","",INDEX(DIFFERENTIATION_UNMERGE_VD,MATCH(G6,DIFFERENTIATION_ID_DIFF,0)))</f>
        <v/>
      </c>
      <c r="H7" s="2416"/>
      <c r="I7" s="2415" t="str">
        <f>IF(I6="","",INDEX(DIFFERENTIATION_UNMERGE_VD,MATCH(I6,DIFFERENTIATION_ID_DIFF,0)))</f>
        <v>Холодное водоснабжение. Питьевая вода</v>
      </c>
      <c r="J7" s="2416"/>
      <c r="K7" s="2415" t="str">
        <f>IF(K6="","",INDEX(DIFFERENTIATION_UNMERGE_VD,MATCH(K6,DIFFERENTIATION_ID_DIFF,0)))</f>
        <v>Подключение (технологическое присоединение) к централизованной системе водоснабжения</v>
      </c>
      <c r="L7" s="2416"/>
      <c r="M7" s="2197"/>
      <c r="N7" s="512"/>
      <c r="Z7" s="508">
        <v>11</v>
      </c>
    </row>
    <row customHeight="1" ht="11.549999999999999">
      <c r="A8" s="707"/>
      <c r="D8" s="714"/>
      <c r="E8" s="2389" t="s">
        <v>563</v>
      </c>
      <c r="F8" s="2390"/>
      <c r="G8" s="2415" t="str">
        <f>IF(G6="","",INDEX(DIFFERENTIATION_UNMERGE_AREA,MATCH(G6,DIFFERENTIATION_ID_DIFF,0)))</f>
        <v/>
      </c>
      <c r="H8" s="2416"/>
      <c r="I8" s="2415" t="str">
        <f>IF(I6="","",INDEX(DIFFERENTIATION_UNMERGE_AREA,MATCH(I6,DIFFERENTIATION_ID_DIFF,0)))</f>
        <v>без дифференциации</v>
      </c>
      <c r="J8" s="2416"/>
      <c r="K8" s="2415" t="str">
        <f>IF(K6="","",INDEX(DIFFERENTIATION_UNMERGE_AREA,MATCH(K6,DIFFERENTIATION_ID_DIFF,0)))</f>
        <v>без дифференциации</v>
      </c>
      <c r="L8" s="2416"/>
      <c r="M8" s="2221"/>
      <c r="N8" s="512"/>
      <c r="Z8" s="508">
        <v>11</v>
      </c>
    </row>
    <row customHeight="1" ht="11.549999999999999">
      <c r="A9" s="707"/>
      <c r="D9" s="714"/>
      <c r="E9" s="2389" t="s">
        <v>564</v>
      </c>
      <c r="F9" s="2390"/>
      <c r="G9" s="2415" t="str">
        <f>IF(G6="","",INDEX(DIFFERENTIATION_UNMERGE_SYSTEM,MATCH(G6,DIFFERENTIATION_ID_DIFF,0)))</f>
        <v/>
      </c>
      <c r="H9" s="2416"/>
      <c r="I9" s="2415" t="str">
        <f>IF(I6="","",INDEX(DIFFERENTIATION_UNMERGE_SYSTEM,MATCH(I6,DIFFERENTIATION_ID_DIFF,0)))</f>
        <v>без дифференциации</v>
      </c>
      <c r="J9" s="2416"/>
      <c r="K9" s="2415" t="str">
        <f>IF(K6="","",INDEX(DIFFERENTIATION_UNMERGE_SYSTEM,MATCH(K6,DIFFERENTIATION_ID_DIFF,0)))</f>
        <v>без дифференциации</v>
      </c>
      <c r="L9" s="2416"/>
      <c r="M9" s="2221"/>
      <c r="N9" s="512"/>
      <c r="Z9" s="508">
        <v>11</v>
      </c>
    </row>
    <row s="1638" customFormat="1" customHeight="1" ht="11.549999999999999">
      <c r="A10" s="1024"/>
      <c r="B10" s="514"/>
      <c r="D10" s="2123" t="s">
        <v>301</v>
      </c>
      <c r="E10" s="2124"/>
      <c r="F10" s="2124"/>
      <c r="G10" s="2124"/>
      <c r="H10" s="2124"/>
      <c r="I10" s="2124"/>
      <c r="J10" s="2125"/>
      <c r="K10" s="2291"/>
      <c r="L10" s="2291"/>
      <c r="M10" s="2221"/>
      <c r="N10" s="512"/>
      <c r="Z10" s="761">
        <v>11</v>
      </c>
    </row>
    <row s="1638" customFormat="1" customHeight="1" ht="24">
      <c r="A11" s="2407"/>
      <c r="B11" s="2407"/>
      <c r="C11" s="660"/>
      <c r="D11" s="706" t="s">
        <v>88</v>
      </c>
      <c r="E11" s="708" t="s">
        <v>828</v>
      </c>
      <c r="F11" s="708" t="s">
        <v>565</v>
      </c>
      <c r="G11" s="468" t="s">
        <v>304</v>
      </c>
      <c r="H11" s="468" t="s">
        <v>391</v>
      </c>
      <c r="I11" s="810" t="s">
        <v>304</v>
      </c>
      <c r="J11" s="811" t="s">
        <v>391</v>
      </c>
      <c r="K11" s="2388" t="s">
        <v>304</v>
      </c>
      <c r="L11" s="2388" t="s">
        <v>391</v>
      </c>
      <c r="M11" s="2254"/>
      <c r="N11" s="661"/>
      <c r="Z11" s="512">
        <v>23</v>
      </c>
    </row>
    <row s="1645" customFormat="1" customHeight="1" ht="10.5">
      <c r="A12" s="955"/>
      <c r="D12" s="1028" t="s">
        <v>99</v>
      </c>
      <c r="E12" s="1028" t="s">
        <v>109</v>
      </c>
      <c r="F12" s="1028" t="s">
        <v>90</v>
      </c>
      <c r="G12" s="1029" t="str">
        <f>G1&amp;".1"</f>
        <v>4.1</v>
      </c>
      <c r="H12" s="1029" t="str">
        <f>G1&amp;".2"</f>
        <v>4.2</v>
      </c>
      <c r="I12" s="1029" t="str">
        <f>I1&amp;".1"</f>
        <v>4.1</v>
      </c>
      <c r="J12" s="1029" t="str">
        <f>I1&amp;".2"</f>
        <v>4.2</v>
      </c>
      <c r="K12" s="2396" t="str">
        <f>K1&amp;".1"</f>
        <v>4.1</v>
      </c>
      <c r="L12" s="2396" t="str">
        <f>K1&amp;".2"</f>
        <v>4.2</v>
      </c>
      <c r="M12" s="1029"/>
      <c r="Z12" s="514">
        <v>10</v>
      </c>
    </row>
    <row customHeight="1" ht="22.5" hidden="1">
      <c r="A13" s="2414" t="s">
        <v>829</v>
      </c>
      <c r="D13" s="956" t="s">
        <v>99</v>
      </c>
      <c r="E13" s="282" t="s">
        <v>830</v>
      </c>
      <c r="F13" s="663" t="s">
        <v>831</v>
      </c>
      <c r="G13" s="560"/>
      <c r="H13" s="664"/>
      <c r="I13" s="560"/>
      <c r="J13" s="664"/>
      <c r="K13" s="560"/>
      <c r="L13" s="665"/>
      <c r="M13" s="292" t="s">
        <v>832</v>
      </c>
      <c r="N13" s="723"/>
      <c r="Z13" s="508">
        <v>0</v>
      </c>
    </row>
    <row customHeight="1" ht="22.5" hidden="1">
      <c r="A14" s="2414"/>
      <c r="D14" s="542" t="s">
        <v>109</v>
      </c>
      <c r="E14" s="282" t="s">
        <v>833</v>
      </c>
      <c r="F14" s="663" t="s">
        <v>834</v>
      </c>
      <c r="G14" s="560"/>
      <c r="H14" s="665"/>
      <c r="I14" s="560"/>
      <c r="J14" s="665"/>
      <c r="K14" s="560"/>
      <c r="L14" s="665"/>
      <c r="M14" s="292" t="s">
        <v>835</v>
      </c>
      <c r="N14" s="723"/>
      <c r="Z14" s="508">
        <v>0</v>
      </c>
    </row>
    <row s="1638" customFormat="1" customHeight="1" ht="78.75" hidden="1">
      <c r="A15" s="2414"/>
      <c r="B15" s="514"/>
      <c r="D15" s="956" t="s">
        <v>90</v>
      </c>
      <c r="E15" s="710" t="s">
        <v>836</v>
      </c>
      <c r="F15" s="953" t="s">
        <v>307</v>
      </c>
      <c r="G15" s="953" t="s">
        <v>307</v>
      </c>
      <c r="H15" s="109"/>
      <c r="I15" s="953" t="s">
        <v>307</v>
      </c>
      <c r="J15" s="109"/>
      <c r="K15" s="2388" t="s">
        <v>307</v>
      </c>
      <c r="L15" s="2523"/>
      <c r="M15" s="292" t="s">
        <v>837</v>
      </c>
      <c r="N15" s="723"/>
      <c r="Z15" s="761">
        <v>0</v>
      </c>
    </row>
    <row s="1638" customFormat="1" customHeight="1" ht="22.5" hidden="1">
      <c r="A16" s="2414"/>
      <c r="B16" s="514"/>
      <c r="D16" s="956" t="s">
        <v>325</v>
      </c>
      <c r="E16" s="957" t="s">
        <v>838</v>
      </c>
      <c r="F16" s="953" t="s">
        <v>839</v>
      </c>
      <c r="G16" s="820"/>
      <c r="H16" s="109"/>
      <c r="I16" s="820"/>
      <c r="J16" s="109"/>
      <c r="K16" s="820"/>
      <c r="L16" s="2523"/>
      <c r="M16" s="292"/>
      <c r="N16" s="723"/>
      <c r="Z16" s="761">
        <v>0</v>
      </c>
    </row>
    <row s="1638" customFormat="1" customHeight="1" ht="22.5" hidden="1">
      <c r="A17" s="2414"/>
      <c r="B17" s="514"/>
      <c r="D17" s="956" t="s">
        <v>333</v>
      </c>
      <c r="E17" s="957" t="s">
        <v>840</v>
      </c>
      <c r="F17" s="953" t="s">
        <v>841</v>
      </c>
      <c r="G17" s="820"/>
      <c r="H17" s="109"/>
      <c r="I17" s="820"/>
      <c r="J17" s="109"/>
      <c r="K17" s="820"/>
      <c r="L17" s="2523"/>
      <c r="M17" s="292"/>
      <c r="N17" s="723"/>
      <c r="Z17" s="761">
        <v>0</v>
      </c>
    </row>
    <row s="1638" customFormat="1" customHeight="1" ht="33.75" hidden="1">
      <c r="A18" s="2414"/>
      <c r="B18" s="514"/>
      <c r="D18" s="956" t="s">
        <v>335</v>
      </c>
      <c r="E18" s="957" t="s">
        <v>842</v>
      </c>
      <c r="F18" s="953" t="s">
        <v>570</v>
      </c>
      <c r="G18" s="683"/>
      <c r="H18" s="109"/>
      <c r="I18" s="683"/>
      <c r="J18" s="109"/>
      <c r="K18" s="683"/>
      <c r="L18" s="2523"/>
      <c r="M18" s="292"/>
      <c r="N18" s="723"/>
      <c r="Z18" s="761">
        <v>0</v>
      </c>
    </row>
    <row customHeight="1" ht="101.25" hidden="1">
      <c r="A19" s="2414"/>
      <c r="D19" s="956" t="s">
        <v>91</v>
      </c>
      <c r="E19" s="282" t="s">
        <v>843</v>
      </c>
      <c r="F19" s="663" t="s">
        <v>545</v>
      </c>
      <c r="G19" s="666"/>
      <c r="H19" s="665"/>
      <c r="I19" s="958"/>
      <c r="J19" s="665"/>
      <c r="K19" s="2539"/>
      <c r="L19" s="665"/>
      <c r="M19" s="292" t="s">
        <v>844</v>
      </c>
      <c r="N19" s="723"/>
      <c r="Z19" s="508">
        <v>0</v>
      </c>
    </row>
    <row s="1638" customFormat="1" customHeight="1" ht="18.75" hidden="1">
      <c r="A20" s="2414"/>
      <c r="C20" s="959"/>
      <c r="D20" s="956" t="s">
        <v>763</v>
      </c>
      <c r="E20" s="957" t="s">
        <v>845</v>
      </c>
      <c r="F20" s="953" t="s">
        <v>307</v>
      </c>
      <c r="G20" s="953" t="s">
        <v>307</v>
      </c>
      <c r="H20" s="952" t="s">
        <v>307</v>
      </c>
      <c r="I20" s="953" t="s">
        <v>307</v>
      </c>
      <c r="J20" s="952" t="s">
        <v>307</v>
      </c>
      <c r="K20" s="2388" t="s">
        <v>307</v>
      </c>
      <c r="L20" s="2282" t="s">
        <v>307</v>
      </c>
      <c r="M20" s="951"/>
      <c r="N20" s="723"/>
      <c r="Y20" s="678"/>
      <c r="Z20" s="761">
        <v>0</v>
      </c>
    </row>
    <row s="1638" customFormat="1" customHeight="1" ht="33.75" hidden="1">
      <c r="A21" s="2414"/>
      <c r="C21" s="959"/>
      <c r="D21" s="956" t="s">
        <v>766</v>
      </c>
      <c r="E21" s="579" t="s">
        <v>846</v>
      </c>
      <c r="F21" s="953" t="s">
        <v>847</v>
      </c>
      <c r="G21" s="683"/>
      <c r="H21" s="109"/>
      <c r="I21" s="683"/>
      <c r="J21" s="109"/>
      <c r="K21" s="683"/>
      <c r="L21" s="2523"/>
      <c r="M21" s="951"/>
      <c r="N21" s="723"/>
      <c r="Y21" s="678"/>
      <c r="Z21" s="761">
        <v>0</v>
      </c>
    </row>
    <row s="1638" customFormat="1" customHeight="1" ht="33.75" hidden="1">
      <c r="A22" s="2414"/>
      <c r="C22" s="959"/>
      <c r="D22" s="956" t="s">
        <v>769</v>
      </c>
      <c r="E22" s="579" t="s">
        <v>848</v>
      </c>
      <c r="F22" s="953" t="s">
        <v>849</v>
      </c>
      <c r="G22" s="683"/>
      <c r="H22" s="109"/>
      <c r="I22" s="683"/>
      <c r="J22" s="109"/>
      <c r="K22" s="683"/>
      <c r="L22" s="2523"/>
      <c r="M22" s="951"/>
      <c r="N22" s="723"/>
      <c r="Y22" s="678"/>
      <c r="Z22" s="761">
        <v>0</v>
      </c>
    </row>
    <row s="1638" customFormat="1" customHeight="1" ht="22.5" hidden="1">
      <c r="A23" s="2414"/>
      <c r="C23" s="959"/>
      <c r="D23" s="956" t="s">
        <v>807</v>
      </c>
      <c r="E23" s="957" t="s">
        <v>850</v>
      </c>
      <c r="F23" s="953" t="s">
        <v>307</v>
      </c>
      <c r="G23" s="953" t="s">
        <v>307</v>
      </c>
      <c r="H23" s="952" t="s">
        <v>307</v>
      </c>
      <c r="I23" s="953" t="s">
        <v>307</v>
      </c>
      <c r="J23" s="952" t="s">
        <v>307</v>
      </c>
      <c r="K23" s="2388" t="s">
        <v>307</v>
      </c>
      <c r="L23" s="2282" t="s">
        <v>307</v>
      </c>
      <c r="M23" s="951"/>
      <c r="N23" s="723"/>
      <c r="Y23" s="678"/>
      <c r="Z23" s="761">
        <v>0</v>
      </c>
    </row>
    <row s="1638" customFormat="1" customHeight="1" ht="22.5" hidden="1">
      <c r="A24" s="2414"/>
      <c r="C24" s="959"/>
      <c r="D24" s="956" t="s">
        <v>851</v>
      </c>
      <c r="E24" s="579" t="s">
        <v>852</v>
      </c>
      <c r="F24" s="953" t="s">
        <v>853</v>
      </c>
      <c r="G24" s="683"/>
      <c r="H24" s="689"/>
      <c r="I24" s="683"/>
      <c r="J24" s="689"/>
      <c r="K24" s="683"/>
      <c r="L24" s="2375"/>
      <c r="M24" s="951"/>
      <c r="N24" s="723"/>
      <c r="Y24" s="678"/>
      <c r="Z24" s="761">
        <v>0</v>
      </c>
    </row>
    <row s="1638" customFormat="1" customHeight="1" ht="22.5" hidden="1">
      <c r="A25" s="2414"/>
      <c r="C25" s="959"/>
      <c r="D25" s="956" t="s">
        <v>854</v>
      </c>
      <c r="E25" s="579" t="s">
        <v>855</v>
      </c>
      <c r="F25" s="953" t="s">
        <v>307</v>
      </c>
      <c r="G25" s="953" t="s">
        <v>307</v>
      </c>
      <c r="H25" s="952" t="s">
        <v>307</v>
      </c>
      <c r="I25" s="953" t="s">
        <v>307</v>
      </c>
      <c r="J25" s="952" t="s">
        <v>307</v>
      </c>
      <c r="K25" s="2388" t="s">
        <v>307</v>
      </c>
      <c r="L25" s="2282" t="s">
        <v>307</v>
      </c>
      <c r="M25" s="951"/>
      <c r="N25" s="723"/>
      <c r="Y25" s="678"/>
      <c r="Z25" s="761">
        <v>0</v>
      </c>
    </row>
    <row s="1638" customFormat="1" customHeight="1" ht="18.75" hidden="1">
      <c r="A26" s="2414"/>
      <c r="C26" s="959"/>
      <c r="D26" s="956" t="s">
        <v>856</v>
      </c>
      <c r="E26" s="556" t="s">
        <v>857</v>
      </c>
      <c r="F26" s="953" t="s">
        <v>858</v>
      </c>
      <c r="G26" s="683"/>
      <c r="H26" s="689"/>
      <c r="I26" s="683"/>
      <c r="J26" s="689"/>
      <c r="K26" s="683"/>
      <c r="L26" s="2375"/>
      <c r="M26" s="951"/>
      <c r="N26" s="723"/>
      <c r="Y26" s="678"/>
      <c r="Z26" s="761">
        <v>0</v>
      </c>
    </row>
    <row s="1638" customFormat="1" customHeight="1" ht="18.75" hidden="1">
      <c r="A27" s="2414"/>
      <c r="C27" s="959"/>
      <c r="D27" s="956" t="s">
        <v>859</v>
      </c>
      <c r="E27" s="556" t="s">
        <v>860</v>
      </c>
      <c r="F27" s="953" t="s">
        <v>861</v>
      </c>
      <c r="G27" s="683"/>
      <c r="H27" s="689"/>
      <c r="I27" s="683"/>
      <c r="J27" s="689"/>
      <c r="K27" s="683"/>
      <c r="L27" s="2375"/>
      <c r="M27" s="951"/>
      <c r="N27" s="723"/>
      <c r="Y27" s="678"/>
      <c r="Z27" s="761">
        <v>0</v>
      </c>
    </row>
    <row s="1638" customFormat="1" customHeight="1" ht="18.75" hidden="1">
      <c r="A28" s="2414"/>
      <c r="C28" s="959"/>
      <c r="D28" s="956" t="s">
        <v>862</v>
      </c>
      <c r="E28" s="579" t="s">
        <v>863</v>
      </c>
      <c r="F28" s="953" t="s">
        <v>307</v>
      </c>
      <c r="G28" s="953" t="s">
        <v>307</v>
      </c>
      <c r="H28" s="952" t="s">
        <v>307</v>
      </c>
      <c r="I28" s="953" t="s">
        <v>307</v>
      </c>
      <c r="J28" s="952" t="s">
        <v>307</v>
      </c>
      <c r="K28" s="2388" t="s">
        <v>307</v>
      </c>
      <c r="L28" s="2282" t="s">
        <v>307</v>
      </c>
      <c r="M28" s="951"/>
      <c r="N28" s="723"/>
      <c r="Y28" s="678"/>
      <c r="Z28" s="761">
        <v>0</v>
      </c>
    </row>
    <row s="1638" customFormat="1" customHeight="1" ht="18.75" hidden="1">
      <c r="A29" s="2414"/>
      <c r="C29" s="959"/>
      <c r="D29" s="956" t="s">
        <v>864</v>
      </c>
      <c r="E29" s="556" t="s">
        <v>857</v>
      </c>
      <c r="F29" s="953" t="s">
        <v>865</v>
      </c>
      <c r="G29" s="683"/>
      <c r="H29" s="689"/>
      <c r="I29" s="683"/>
      <c r="J29" s="689"/>
      <c r="K29" s="683"/>
      <c r="L29" s="2375"/>
      <c r="M29" s="951"/>
      <c r="N29" s="723"/>
      <c r="Y29" s="678"/>
      <c r="Z29" s="761">
        <v>0</v>
      </c>
    </row>
    <row s="1638" customFormat="1" customHeight="1" ht="18.75" hidden="1">
      <c r="A30" s="2414"/>
      <c r="C30" s="959"/>
      <c r="D30" s="956" t="s">
        <v>866</v>
      </c>
      <c r="E30" s="556" t="s">
        <v>867</v>
      </c>
      <c r="F30" s="953" t="s">
        <v>868</v>
      </c>
      <c r="G30" s="683"/>
      <c r="H30" s="689"/>
      <c r="I30" s="683"/>
      <c r="J30" s="689"/>
      <c r="K30" s="683"/>
      <c r="L30" s="2375"/>
      <c r="M30" s="951"/>
      <c r="N30" s="723"/>
      <c r="Y30" s="678"/>
      <c r="Z30" s="761">
        <v>0</v>
      </c>
    </row>
    <row customHeight="1" ht="126.75" hidden="1">
      <c r="A31" s="2414"/>
      <c r="D31" s="956" t="s">
        <v>110</v>
      </c>
      <c r="E31" s="282" t="s">
        <v>869</v>
      </c>
      <c r="F31" s="663" t="s">
        <v>557</v>
      </c>
      <c r="G31" s="560"/>
      <c r="H31" s="665"/>
      <c r="I31" s="560"/>
      <c r="J31" s="665"/>
      <c r="K31" s="560"/>
      <c r="L31" s="665"/>
      <c r="M31" s="292" t="s">
        <v>870</v>
      </c>
      <c r="N31" s="723"/>
      <c r="Z31" s="508">
        <v>0</v>
      </c>
    </row>
    <row customHeight="1" ht="56.25" hidden="1">
      <c r="A32" s="2414"/>
      <c r="D32" s="956" t="s">
        <v>92</v>
      </c>
      <c r="E32" s="282" t="s">
        <v>871</v>
      </c>
      <c r="F32" s="542" t="s">
        <v>841</v>
      </c>
      <c r="G32" s="560"/>
      <c r="H32" s="665"/>
      <c r="I32" s="560"/>
      <c r="J32" s="665"/>
      <c r="K32" s="560"/>
      <c r="L32" s="665"/>
      <c r="M32" s="292" t="s">
        <v>872</v>
      </c>
      <c r="N32" s="723"/>
      <c r="Z32" s="508">
        <v>0</v>
      </c>
    </row>
    <row customHeight="1" ht="11.25" hidden="1">
      <c r="A33" s="2414"/>
      <c r="E33" s="667"/>
      <c r="F33" s="184"/>
      <c r="G33" s="184"/>
      <c r="H33" s="184"/>
      <c r="I33" s="184"/>
      <c r="J33" s="184"/>
      <c r="K33" s="1067"/>
      <c r="L33" s="1067"/>
      <c r="M33" s="184"/>
      <c r="Z33" s="508">
        <v>0</v>
      </c>
    </row>
    <row customHeight="1" ht="12.75" hidden="1">
      <c r="A34" s="2414"/>
      <c r="D34" s="68">
        <v>1</v>
      </c>
      <c r="E34" s="338" t="s">
        <v>873</v>
      </c>
      <c r="K34" s="1638"/>
      <c r="L34" s="1638"/>
      <c r="Z34" s="508">
        <v>0</v>
      </c>
    </row>
    <row customHeight="1" ht="11.25" hidden="1">
      <c r="A35" s="2414"/>
      <c r="D35" s="372"/>
      <c r="E35" s="338" t="s">
        <v>874</v>
      </c>
      <c r="K35" s="1638"/>
      <c r="L35" s="1638"/>
      <c r="Z35" s="508">
        <v>0</v>
      </c>
    </row>
    <row s="1638" customFormat="1" customHeight="1" ht="11.549999999999999">
      <c r="A36" s="1036"/>
      <c r="B36" s="521"/>
      <c r="D36" s="1037"/>
      <c r="E36" s="1038"/>
      <c r="K36" s="1638"/>
      <c r="L36" s="1638"/>
      <c r="Z36" s="512">
        <v>11</v>
      </c>
    </row>
    <row s="1638" customFormat="1" customHeight="1" ht="22.5">
      <c r="A37" s="2414" t="s">
        <v>875</v>
      </c>
      <c r="B37" s="514"/>
      <c r="D37" s="956">
        <v>1</v>
      </c>
      <c r="E37" s="710" t="s">
        <v>876</v>
      </c>
      <c r="F37" s="663" t="s">
        <v>831</v>
      </c>
      <c r="G37" s="560"/>
      <c r="H37" s="522"/>
      <c r="I37" s="560">
        <f>9/164.885</f>
        <v>0.0545834975892289</v>
      </c>
      <c r="J37" s="522"/>
      <c r="K37" s="560">
        <v>0.05</v>
      </c>
      <c r="L37" s="522"/>
      <c r="M37" s="292" t="s">
        <v>877</v>
      </c>
      <c r="Z37" s="761">
        <v>0</v>
      </c>
    </row>
    <row s="1638" customFormat="1" customHeight="1" ht="22.5">
      <c r="A38" s="2414"/>
      <c r="B38" s="514"/>
      <c r="D38" s="672" t="s">
        <v>109</v>
      </c>
      <c r="E38" s="1035" t="s">
        <v>878</v>
      </c>
      <c r="F38" s="1039" t="s">
        <v>545</v>
      </c>
      <c r="G38" s="1039" t="s">
        <v>545</v>
      </c>
      <c r="H38" s="1033"/>
      <c r="I38" s="1039" t="s">
        <v>545</v>
      </c>
      <c r="J38" s="1033"/>
      <c r="K38" s="1039" t="s">
        <v>545</v>
      </c>
      <c r="L38" s="1033"/>
      <c r="M38" s="1034"/>
      <c r="Z38" s="761">
        <v>0</v>
      </c>
    </row>
    <row s="1638" customFormat="1" customHeight="1" ht="33.75">
      <c r="A39" s="2414"/>
      <c r="B39" s="514"/>
      <c r="D39" s="668" t="s">
        <v>715</v>
      </c>
      <c r="E39" s="726" t="s">
        <v>879</v>
      </c>
      <c r="F39" s="663" t="s">
        <v>880</v>
      </c>
      <c r="G39" s="671"/>
      <c r="H39" s="1026"/>
      <c r="I39" s="671">
        <v>1</v>
      </c>
      <c r="J39" s="1026"/>
      <c r="K39" s="1172">
        <v>1</v>
      </c>
      <c r="L39" s="1026"/>
      <c r="M39" s="292" t="s">
        <v>881</v>
      </c>
      <c r="Z39" s="761">
        <v>0</v>
      </c>
    </row>
    <row s="1638" customFormat="1" customHeight="1" ht="33.75">
      <c r="A40" s="2414"/>
      <c r="B40" s="514"/>
      <c r="D40" s="668" t="s">
        <v>718</v>
      </c>
      <c r="E40" s="726" t="s">
        <v>882</v>
      </c>
      <c r="F40" s="1030" t="s">
        <v>883</v>
      </c>
      <c r="G40" s="744"/>
      <c r="H40" s="1026"/>
      <c r="I40" s="744">
        <v>17</v>
      </c>
      <c r="J40" s="1026"/>
      <c r="K40" s="744">
        <v>17</v>
      </c>
      <c r="L40" s="1026"/>
      <c r="M40" s="292" t="s">
        <v>884</v>
      </c>
      <c r="Z40" s="761">
        <v>0</v>
      </c>
    </row>
    <row s="1638" customFormat="1" customHeight="1" ht="22.5">
      <c r="A41" s="2414"/>
      <c r="B41" s="514"/>
      <c r="D41" s="668" t="s">
        <v>90</v>
      </c>
      <c r="E41" s="725" t="s">
        <v>885</v>
      </c>
      <c r="F41" s="663" t="s">
        <v>545</v>
      </c>
      <c r="G41" s="663" t="s">
        <v>545</v>
      </c>
      <c r="H41" s="1027"/>
      <c r="I41" s="663" t="s">
        <v>545</v>
      </c>
      <c r="J41" s="1027"/>
      <c r="K41" s="2126" t="s">
        <v>545</v>
      </c>
      <c r="L41" s="1027"/>
      <c r="M41" s="305"/>
      <c r="Z41" s="761">
        <v>0</v>
      </c>
    </row>
    <row s="1638" customFormat="1" customHeight="1" ht="45">
      <c r="A42" s="2414"/>
      <c r="B42" s="514"/>
      <c r="D42" s="668" t="s">
        <v>325</v>
      </c>
      <c r="E42" s="726" t="s">
        <v>886</v>
      </c>
      <c r="F42" s="663" t="s">
        <v>557</v>
      </c>
      <c r="G42" s="560"/>
      <c r="H42" s="1027"/>
      <c r="I42" s="560">
        <v>90</v>
      </c>
      <c r="J42" s="1027"/>
      <c r="K42" s="560">
        <v>90</v>
      </c>
      <c r="L42" s="1027"/>
      <c r="M42" s="305" t="s">
        <v>887</v>
      </c>
      <c r="Z42" s="761">
        <v>0</v>
      </c>
    </row>
    <row s="1638" customFormat="1" customHeight="1" ht="45">
      <c r="A43" s="2414"/>
      <c r="B43" s="514"/>
      <c r="D43" s="668" t="s">
        <v>333</v>
      </c>
      <c r="E43" s="670" t="s">
        <v>888</v>
      </c>
      <c r="F43" s="1031" t="s">
        <v>557</v>
      </c>
      <c r="G43" s="745"/>
      <c r="H43" s="1026"/>
      <c r="I43" s="745">
        <v>0</v>
      </c>
      <c r="J43" s="1026"/>
      <c r="K43" s="745">
        <v>0</v>
      </c>
      <c r="L43" s="1026"/>
      <c r="M43" s="305" t="s">
        <v>889</v>
      </c>
      <c r="Z43" s="761">
        <v>0</v>
      </c>
    </row>
    <row s="1638" customFormat="1" customHeight="1" ht="11.25">
      <c r="A44" s="2414"/>
      <c r="B44" s="514"/>
      <c r="D44" s="668" t="s">
        <v>91</v>
      </c>
      <c r="E44" s="669" t="s">
        <v>890</v>
      </c>
      <c r="F44" s="663" t="s">
        <v>880</v>
      </c>
      <c r="G44" s="671"/>
      <c r="H44" s="1026"/>
      <c r="I44" s="671">
        <v>2560</v>
      </c>
      <c r="J44" s="1026"/>
      <c r="K44" s="1172">
        <v>2560</v>
      </c>
      <c r="L44" s="1026"/>
      <c r="M44" s="292"/>
      <c r="Z44" s="761">
        <v>0</v>
      </c>
    </row>
    <row s="1638" customFormat="1" customHeight="1" ht="11.25">
      <c r="A45" s="2414"/>
      <c r="B45" s="514"/>
      <c r="D45" s="668" t="s">
        <v>763</v>
      </c>
      <c r="E45" s="670" t="s">
        <v>891</v>
      </c>
      <c r="F45" s="663" t="s">
        <v>880</v>
      </c>
      <c r="G45" s="671"/>
      <c r="H45" s="1026"/>
      <c r="I45" s="671">
        <v>620</v>
      </c>
      <c r="J45" s="1026"/>
      <c r="K45" s="1172">
        <v>620</v>
      </c>
      <c r="L45" s="1026"/>
      <c r="M45" s="292"/>
      <c r="Z45" s="761">
        <v>0</v>
      </c>
    </row>
    <row s="1638" customFormat="1" customHeight="1" ht="11.25">
      <c r="A46" s="2414"/>
      <c r="B46" s="514"/>
      <c r="D46" s="668" t="s">
        <v>807</v>
      </c>
      <c r="E46" s="670" t="s">
        <v>892</v>
      </c>
      <c r="F46" s="663" t="s">
        <v>880</v>
      </c>
      <c r="G46" s="671"/>
      <c r="H46" s="1026"/>
      <c r="I46" s="671">
        <v>620</v>
      </c>
      <c r="J46" s="1026"/>
      <c r="K46" s="1172">
        <v>620</v>
      </c>
      <c r="L46" s="1026"/>
      <c r="M46" s="292"/>
      <c r="Z46" s="761">
        <v>0</v>
      </c>
    </row>
    <row s="1638" customFormat="1" customHeight="1" ht="11.25">
      <c r="A47" s="2414"/>
      <c r="B47" s="514"/>
      <c r="D47" s="668" t="s">
        <v>810</v>
      </c>
      <c r="E47" s="670" t="s">
        <v>893</v>
      </c>
      <c r="F47" s="663" t="s">
        <v>880</v>
      </c>
      <c r="G47" s="671"/>
      <c r="H47" s="1026"/>
      <c r="I47" s="671">
        <v>33</v>
      </c>
      <c r="J47" s="1026"/>
      <c r="K47" s="1172">
        <v>33</v>
      </c>
      <c r="L47" s="1026"/>
      <c r="M47" s="292"/>
      <c r="Z47" s="761">
        <v>0</v>
      </c>
    </row>
    <row s="1638" customFormat="1" customHeight="1" ht="11.25">
      <c r="A48" s="2414"/>
      <c r="B48" s="514"/>
      <c r="D48" s="668" t="s">
        <v>894</v>
      </c>
      <c r="E48" s="674" t="s">
        <v>895</v>
      </c>
      <c r="F48" s="663" t="s">
        <v>880</v>
      </c>
      <c r="G48" s="671"/>
      <c r="H48" s="1026"/>
      <c r="I48" s="671">
        <v>0</v>
      </c>
      <c r="J48" s="1026"/>
      <c r="K48" s="1172">
        <v>0</v>
      </c>
      <c r="L48" s="1026"/>
      <c r="M48" s="292"/>
      <c r="Z48" s="761">
        <v>0</v>
      </c>
    </row>
    <row s="1638" customFormat="1" customHeight="1" ht="11.25">
      <c r="A49" s="2414"/>
      <c r="B49" s="514"/>
      <c r="D49" s="668" t="s">
        <v>896</v>
      </c>
      <c r="E49" s="674" t="s">
        <v>897</v>
      </c>
      <c r="F49" s="663" t="s">
        <v>880</v>
      </c>
      <c r="G49" s="671"/>
      <c r="H49" s="1026"/>
      <c r="I49" s="671">
        <v>33</v>
      </c>
      <c r="J49" s="1026"/>
      <c r="K49" s="1172">
        <v>33</v>
      </c>
      <c r="L49" s="1026"/>
      <c r="M49" s="292"/>
      <c r="Z49" s="761">
        <v>0</v>
      </c>
    </row>
    <row s="1638" customFormat="1" customHeight="1" ht="11.25">
      <c r="A50" s="2414"/>
      <c r="B50" s="514"/>
      <c r="D50" s="668" t="s">
        <v>898</v>
      </c>
      <c r="E50" s="670" t="s">
        <v>899</v>
      </c>
      <c r="F50" s="663" t="s">
        <v>880</v>
      </c>
      <c r="G50" s="671"/>
      <c r="H50" s="1026"/>
      <c r="I50" s="671">
        <v>647</v>
      </c>
      <c r="J50" s="1026"/>
      <c r="K50" s="1172">
        <v>647</v>
      </c>
      <c r="L50" s="1026"/>
      <c r="M50" s="292"/>
      <c r="Z50" s="761">
        <v>0</v>
      </c>
    </row>
    <row s="1638" customFormat="1" customHeight="1" ht="11.25">
      <c r="A51" s="2414"/>
      <c r="B51" s="514"/>
      <c r="D51" s="668" t="s">
        <v>900</v>
      </c>
      <c r="E51" s="670" t="s">
        <v>901</v>
      </c>
      <c r="F51" s="663" t="s">
        <v>880</v>
      </c>
      <c r="G51" s="671"/>
      <c r="H51" s="1026"/>
      <c r="I51" s="671">
        <v>640</v>
      </c>
      <c r="J51" s="1026"/>
      <c r="K51" s="1172">
        <v>640</v>
      </c>
      <c r="L51" s="1026"/>
      <c r="M51" s="292"/>
      <c r="Z51" s="761">
        <v>0</v>
      </c>
    </row>
    <row s="1638" customFormat="1" customHeight="1" ht="45">
      <c r="A52" s="2414"/>
      <c r="B52" s="514"/>
      <c r="D52" s="668" t="s">
        <v>110</v>
      </c>
      <c r="E52" s="669" t="s">
        <v>902</v>
      </c>
      <c r="F52" s="663" t="s">
        <v>880</v>
      </c>
      <c r="G52" s="671"/>
      <c r="H52" s="1026"/>
      <c r="I52" s="671">
        <v>29</v>
      </c>
      <c r="J52" s="1026"/>
      <c r="K52" s="1172">
        <v>29</v>
      </c>
      <c r="L52" s="1026"/>
      <c r="M52" s="292"/>
      <c r="Z52" s="761">
        <v>0</v>
      </c>
    </row>
    <row s="1638" customFormat="1" customHeight="1" ht="11.25">
      <c r="A53" s="2414"/>
      <c r="B53" s="514"/>
      <c r="D53" s="668" t="s">
        <v>314</v>
      </c>
      <c r="E53" s="670" t="s">
        <v>891</v>
      </c>
      <c r="F53" s="663" t="s">
        <v>880</v>
      </c>
      <c r="G53" s="671"/>
      <c r="H53" s="1026"/>
      <c r="I53" s="671">
        <v>1</v>
      </c>
      <c r="J53" s="1026"/>
      <c r="K53" s="1172">
        <v>1</v>
      </c>
      <c r="L53" s="1026"/>
      <c r="M53" s="292"/>
      <c r="Z53" s="761">
        <v>0</v>
      </c>
    </row>
    <row s="1638" customFormat="1" customHeight="1" ht="11.25">
      <c r="A54" s="2414"/>
      <c r="B54" s="514"/>
      <c r="D54" s="668" t="s">
        <v>903</v>
      </c>
      <c r="E54" s="670" t="s">
        <v>892</v>
      </c>
      <c r="F54" s="663" t="s">
        <v>880</v>
      </c>
      <c r="G54" s="671"/>
      <c r="H54" s="1026"/>
      <c r="I54" s="671">
        <v>0</v>
      </c>
      <c r="J54" s="1026"/>
      <c r="K54" s="1172">
        <v>0</v>
      </c>
      <c r="L54" s="1026"/>
      <c r="M54" s="292"/>
      <c r="Z54" s="761">
        <v>0</v>
      </c>
    </row>
    <row s="1638" customFormat="1" customHeight="1" ht="11.25">
      <c r="A55" s="2414"/>
      <c r="B55" s="514"/>
      <c r="D55" s="668" t="s">
        <v>904</v>
      </c>
      <c r="E55" s="670" t="s">
        <v>893</v>
      </c>
      <c r="F55" s="663" t="s">
        <v>880</v>
      </c>
      <c r="G55" s="671"/>
      <c r="H55" s="1026"/>
      <c r="I55" s="671">
        <v>0</v>
      </c>
      <c r="J55" s="1026"/>
      <c r="K55" s="1172">
        <v>0</v>
      </c>
      <c r="L55" s="1026"/>
      <c r="M55" s="292"/>
      <c r="Z55" s="761">
        <v>0</v>
      </c>
    </row>
    <row s="1638" customFormat="1" customHeight="1" ht="11.25">
      <c r="A56" s="2414"/>
      <c r="B56" s="514"/>
      <c r="D56" s="668" t="s">
        <v>905</v>
      </c>
      <c r="E56" s="674" t="s">
        <v>895</v>
      </c>
      <c r="F56" s="663" t="s">
        <v>880</v>
      </c>
      <c r="G56" s="671"/>
      <c r="H56" s="1026"/>
      <c r="I56" s="671">
        <v>0</v>
      </c>
      <c r="J56" s="1026"/>
      <c r="K56" s="1172">
        <v>0</v>
      </c>
      <c r="L56" s="1026"/>
      <c r="M56" s="292"/>
      <c r="Z56" s="761">
        <v>0</v>
      </c>
    </row>
    <row s="1638" customFormat="1" customHeight="1" ht="11.25">
      <c r="A57" s="2414"/>
      <c r="B57" s="514"/>
      <c r="D57" s="668" t="s">
        <v>906</v>
      </c>
      <c r="E57" s="674" t="s">
        <v>897</v>
      </c>
      <c r="F57" s="663" t="s">
        <v>880</v>
      </c>
      <c r="G57" s="671"/>
      <c r="H57" s="1026"/>
      <c r="I57" s="671">
        <v>0</v>
      </c>
      <c r="J57" s="1026"/>
      <c r="K57" s="1172">
        <v>0</v>
      </c>
      <c r="L57" s="1026"/>
      <c r="M57" s="292"/>
      <c r="Z57" s="761">
        <v>0</v>
      </c>
    </row>
    <row s="1638" customFormat="1" customHeight="1" ht="11.25">
      <c r="A58" s="2414"/>
      <c r="B58" s="514"/>
      <c r="D58" s="668" t="s">
        <v>907</v>
      </c>
      <c r="E58" s="670" t="s">
        <v>899</v>
      </c>
      <c r="F58" s="663" t="s">
        <v>880</v>
      </c>
      <c r="G58" s="671"/>
      <c r="H58" s="1026"/>
      <c r="I58" s="671">
        <v>28</v>
      </c>
      <c r="J58" s="1026"/>
      <c r="K58" s="1172">
        <v>28</v>
      </c>
      <c r="L58" s="1026"/>
      <c r="M58" s="292"/>
      <c r="Z58" s="761">
        <v>0</v>
      </c>
    </row>
    <row s="1638" customFormat="1" customHeight="1" ht="11.25">
      <c r="A59" s="2414"/>
      <c r="B59" s="514"/>
      <c r="D59" s="668" t="s">
        <v>908</v>
      </c>
      <c r="E59" s="670" t="s">
        <v>901</v>
      </c>
      <c r="F59" s="663" t="s">
        <v>880</v>
      </c>
      <c r="G59" s="671"/>
      <c r="H59" s="1026"/>
      <c r="I59" s="671">
        <v>0</v>
      </c>
      <c r="J59" s="1026"/>
      <c r="K59" s="1172">
        <v>0</v>
      </c>
      <c r="L59" s="1026"/>
      <c r="M59" s="292"/>
      <c r="Z59" s="761">
        <v>0</v>
      </c>
    </row>
    <row s="1638" customFormat="1" customHeight="1" ht="33.75">
      <c r="A60" s="2414"/>
      <c r="B60" s="514"/>
      <c r="D60" s="668" t="s">
        <v>92</v>
      </c>
      <c r="E60" s="669" t="s">
        <v>909</v>
      </c>
      <c r="F60" s="724" t="s">
        <v>557</v>
      </c>
      <c r="G60" s="745"/>
      <c r="H60" s="1026"/>
      <c r="I60" s="745">
        <v>100</v>
      </c>
      <c r="J60" s="1026"/>
      <c r="K60" s="745">
        <v>100</v>
      </c>
      <c r="L60" s="1026"/>
      <c r="M60" s="305" t="s">
        <v>910</v>
      </c>
      <c r="Z60" s="761">
        <v>0</v>
      </c>
    </row>
    <row s="1638" customFormat="1" customHeight="1" ht="33.75">
      <c r="A61" s="2414"/>
      <c r="B61" s="514"/>
      <c r="D61" s="668" t="s">
        <v>93</v>
      </c>
      <c r="E61" s="669" t="s">
        <v>911</v>
      </c>
      <c r="F61" s="729" t="s">
        <v>841</v>
      </c>
      <c r="G61" s="671"/>
      <c r="H61" s="1026"/>
      <c r="I61" s="671">
        <v>12</v>
      </c>
      <c r="J61" s="1026"/>
      <c r="K61" s="1172">
        <v>12</v>
      </c>
      <c r="L61" s="1026"/>
      <c r="M61" s="292"/>
      <c r="Z61" s="761">
        <v>0</v>
      </c>
    </row>
    <row s="1638" customFormat="1" customHeight="1" ht="22.5">
      <c r="A62" s="2414"/>
      <c r="B62" s="514" t="s">
        <v>582</v>
      </c>
      <c r="D62" s="668" t="s">
        <v>111</v>
      </c>
      <c r="E62" s="669" t="s">
        <v>912</v>
      </c>
      <c r="F62" s="729" t="s">
        <v>307</v>
      </c>
      <c r="G62" s="385"/>
      <c r="H62" s="1026"/>
      <c r="I62" s="2670" t="s">
        <v>913</v>
      </c>
      <c r="J62" s="1026"/>
      <c r="K62" s="2662" t="s">
        <v>913</v>
      </c>
      <c r="L62" s="1026"/>
      <c r="M62" s="292" t="s">
        <v>635</v>
      </c>
      <c r="Z62" s="761">
        <v>0</v>
      </c>
    </row>
    <row s="1638" customFormat="1" customHeight="1" ht="45">
      <c r="A63" s="2414"/>
      <c r="B63" s="514" t="s">
        <v>582</v>
      </c>
      <c r="D63" s="668" t="s">
        <v>914</v>
      </c>
      <c r="E63" s="670" t="s">
        <v>915</v>
      </c>
      <c r="F63" s="724" t="s">
        <v>307</v>
      </c>
      <c r="G63" s="385"/>
      <c r="H63" s="1026"/>
      <c r="I63" s="2670" t="s">
        <v>913</v>
      </c>
      <c r="J63" s="1026"/>
      <c r="K63" s="2662" t="s">
        <v>913</v>
      </c>
      <c r="L63" s="1026"/>
      <c r="M63" s="292" t="s">
        <v>635</v>
      </c>
      <c r="Z63" s="761">
        <v>0</v>
      </c>
    </row>
    <row s="1638" customFormat="1" customHeight="1" ht="11.549999999999999">
      <c r="A64" s="1036"/>
      <c r="B64" s="521"/>
      <c r="D64" s="1037"/>
      <c r="E64" s="1038"/>
      <c r="K64" s="1638"/>
      <c r="L64" s="1638"/>
      <c r="Z64" s="512">
        <v>11</v>
      </c>
    </row>
    <row s="1638" customFormat="1" customHeight="1" ht="22.5" hidden="1">
      <c r="A65" s="2414" t="s">
        <v>916</v>
      </c>
      <c r="B65" s="514"/>
      <c r="D65" s="668">
        <v>1</v>
      </c>
      <c r="E65" s="747" t="s">
        <v>917</v>
      </c>
      <c r="F65" s="743" t="s">
        <v>831</v>
      </c>
      <c r="G65" s="744"/>
      <c r="H65" s="1032"/>
      <c r="I65" s="744"/>
      <c r="J65" s="1032"/>
      <c r="K65" s="744"/>
      <c r="L65" s="1032"/>
      <c r="M65" s="304" t="s">
        <v>918</v>
      </c>
      <c r="Z65" s="761">
        <v>0</v>
      </c>
    </row>
    <row s="1638" customFormat="1" customHeight="1" ht="56.25" hidden="1">
      <c r="A66" s="2414"/>
      <c r="B66" s="514"/>
      <c r="D66" s="746" t="s">
        <v>109</v>
      </c>
      <c r="E66" s="710" t="s">
        <v>919</v>
      </c>
      <c r="F66" s="663" t="s">
        <v>545</v>
      </c>
      <c r="G66" s="663" t="s">
        <v>545</v>
      </c>
      <c r="H66" s="522"/>
      <c r="I66" s="663" t="s">
        <v>545</v>
      </c>
      <c r="J66" s="522"/>
      <c r="K66" s="2126" t="s">
        <v>545</v>
      </c>
      <c r="L66" s="522"/>
      <c r="M66" s="292"/>
      <c r="Z66" s="761">
        <v>0</v>
      </c>
    </row>
    <row s="1638" customFormat="1" customHeight="1" ht="33.75" hidden="1">
      <c r="A67" s="2414"/>
      <c r="B67" s="514"/>
      <c r="D67" s="746" t="s">
        <v>712</v>
      </c>
      <c r="E67" s="957" t="s">
        <v>920</v>
      </c>
      <c r="F67" s="663" t="s">
        <v>883</v>
      </c>
      <c r="G67" s="730"/>
      <c r="H67" s="522"/>
      <c r="I67" s="730"/>
      <c r="J67" s="522"/>
      <c r="K67" s="730"/>
      <c r="L67" s="522"/>
      <c r="M67" s="292"/>
      <c r="Z67" s="761">
        <v>0</v>
      </c>
    </row>
    <row s="1638" customFormat="1" customHeight="1" ht="22.5" hidden="1">
      <c r="A68" s="2414"/>
      <c r="B68" s="514"/>
      <c r="D68" s="746" t="s">
        <v>308</v>
      </c>
      <c r="E68" s="957" t="s">
        <v>921</v>
      </c>
      <c r="F68" s="663" t="s">
        <v>883</v>
      </c>
      <c r="G68" s="730"/>
      <c r="H68" s="522"/>
      <c r="I68" s="730"/>
      <c r="J68" s="522"/>
      <c r="K68" s="730"/>
      <c r="L68" s="522"/>
      <c r="M68" s="292"/>
      <c r="Z68" s="761">
        <v>0</v>
      </c>
    </row>
    <row s="1638" customFormat="1" customHeight="1" ht="22.5" hidden="1">
      <c r="A69" s="2414"/>
      <c r="B69" s="514"/>
      <c r="D69" s="746" t="s">
        <v>311</v>
      </c>
      <c r="E69" s="957" t="s">
        <v>922</v>
      </c>
      <c r="F69" s="724" t="s">
        <v>557</v>
      </c>
      <c r="G69" s="745"/>
      <c r="H69" s="522"/>
      <c r="I69" s="745"/>
      <c r="J69" s="522"/>
      <c r="K69" s="745"/>
      <c r="L69" s="522"/>
      <c r="M69" s="292"/>
      <c r="Z69" s="761">
        <v>0</v>
      </c>
    </row>
    <row s="1638" customFormat="1" customHeight="1" ht="22.5" hidden="1">
      <c r="A70" s="2414"/>
      <c r="B70" s="514"/>
      <c r="D70" s="746" t="s">
        <v>732</v>
      </c>
      <c r="E70" s="957" t="s">
        <v>923</v>
      </c>
      <c r="F70" s="724" t="s">
        <v>557</v>
      </c>
      <c r="G70" s="745"/>
      <c r="H70" s="522"/>
      <c r="I70" s="745"/>
      <c r="J70" s="522"/>
      <c r="K70" s="745"/>
      <c r="L70" s="522"/>
      <c r="M70" s="292"/>
      <c r="Z70" s="761">
        <v>0</v>
      </c>
    </row>
    <row s="1638" customFormat="1" customHeight="1" ht="22.5" hidden="1">
      <c r="A71" s="2414"/>
      <c r="B71" s="514"/>
      <c r="D71" s="668" t="s">
        <v>90</v>
      </c>
      <c r="E71" s="669" t="s">
        <v>924</v>
      </c>
      <c r="F71" s="663" t="s">
        <v>883</v>
      </c>
      <c r="G71" s="560"/>
      <c r="H71" s="1033"/>
      <c r="I71" s="560"/>
      <c r="J71" s="1033"/>
      <c r="K71" s="560"/>
      <c r="L71" s="1033"/>
      <c r="M71" s="305"/>
      <c r="Z71" s="761">
        <v>0</v>
      </c>
    </row>
    <row s="1638" customFormat="1" customHeight="1" ht="56.25" hidden="1">
      <c r="A72" s="2414"/>
      <c r="B72" s="514"/>
      <c r="D72" s="668" t="s">
        <v>91</v>
      </c>
      <c r="E72" s="669" t="s">
        <v>925</v>
      </c>
      <c r="F72" s="724" t="s">
        <v>557</v>
      </c>
      <c r="G72" s="745"/>
      <c r="H72" s="1026"/>
      <c r="I72" s="745"/>
      <c r="J72" s="1026"/>
      <c r="K72" s="745"/>
      <c r="L72" s="1026"/>
      <c r="M72" s="305"/>
      <c r="Z72" s="761">
        <v>0</v>
      </c>
    </row>
    <row s="1638" customFormat="1" customHeight="1" ht="33.75" hidden="1">
      <c r="A73" s="2414"/>
      <c r="B73" s="514"/>
      <c r="D73" s="668" t="s">
        <v>110</v>
      </c>
      <c r="E73" s="669" t="s">
        <v>926</v>
      </c>
      <c r="F73" s="729" t="s">
        <v>841</v>
      </c>
      <c r="G73" s="671"/>
      <c r="H73" s="1026"/>
      <c r="I73" s="671"/>
      <c r="J73" s="1026"/>
      <c r="K73" s="1172"/>
      <c r="L73" s="1026"/>
      <c r="M73" s="292"/>
      <c r="Z73" s="761">
        <v>0</v>
      </c>
    </row>
    <row s="1638" customFormat="1" customHeight="1" ht="22.5" hidden="1">
      <c r="A74" s="2414"/>
      <c r="B74" s="514" t="s">
        <v>582</v>
      </c>
      <c r="D74" s="668" t="s">
        <v>92</v>
      </c>
      <c r="E74" s="669" t="s">
        <v>927</v>
      </c>
      <c r="F74" s="729" t="s">
        <v>307</v>
      </c>
      <c r="G74" s="385"/>
      <c r="H74" s="1026"/>
      <c r="I74" s="385"/>
      <c r="J74" s="1026"/>
      <c r="K74" s="2662"/>
      <c r="L74" s="1026"/>
      <c r="M74" s="292" t="s">
        <v>635</v>
      </c>
      <c r="Z74" s="761">
        <v>0</v>
      </c>
    </row>
    <row s="1638" customFormat="1" customHeight="1" ht="45" hidden="1">
      <c r="A75" s="2414"/>
      <c r="B75" s="514" t="s">
        <v>582</v>
      </c>
      <c r="D75" s="668" t="s">
        <v>656</v>
      </c>
      <c r="E75" s="670" t="s">
        <v>928</v>
      </c>
      <c r="F75" s="724" t="s">
        <v>307</v>
      </c>
      <c r="G75" s="385"/>
      <c r="H75" s="1026"/>
      <c r="I75" s="385"/>
      <c r="J75" s="1026"/>
      <c r="K75" s="2662"/>
      <c r="L75" s="1026"/>
      <c r="M75" s="292" t="s">
        <v>635</v>
      </c>
      <c r="Z75" s="761">
        <v>0</v>
      </c>
    </row>
    <row s="1638" customFormat="1" customHeight="1" ht="11.549999999999999">
      <c r="A76" s="1036"/>
      <c r="B76" s="521"/>
      <c r="D76" s="1037"/>
      <c r="E76" s="1038"/>
      <c r="K76" s="1638"/>
      <c r="L76" s="1638"/>
      <c r="Z76" s="512">
        <v>11</v>
      </c>
    </row>
    <row s="1638" customFormat="1" customHeight="1" ht="11.25" hidden="1">
      <c r="A77" s="2414" t="s">
        <v>929</v>
      </c>
      <c r="B77" s="514"/>
      <c r="D77" s="668">
        <v>1</v>
      </c>
      <c r="E77" s="669" t="s">
        <v>930</v>
      </c>
      <c r="F77" s="724" t="s">
        <v>831</v>
      </c>
      <c r="G77" s="727"/>
      <c r="H77" s="1026"/>
      <c r="I77" s="727"/>
      <c r="J77" s="1026"/>
      <c r="K77" s="727"/>
      <c r="L77" s="1026"/>
      <c r="M77" s="292" t="s">
        <v>931</v>
      </c>
      <c r="Z77" s="761">
        <v>0</v>
      </c>
    </row>
    <row s="1638" customFormat="1" customHeight="1" ht="11.25" hidden="1">
      <c r="A78" s="2414"/>
      <c r="B78" s="514"/>
      <c r="D78" s="668" t="s">
        <v>109</v>
      </c>
      <c r="E78" s="669" t="s">
        <v>932</v>
      </c>
      <c r="F78" s="724" t="s">
        <v>831</v>
      </c>
      <c r="G78" s="727"/>
      <c r="H78" s="1026"/>
      <c r="I78" s="727"/>
      <c r="J78" s="1026"/>
      <c r="K78" s="727"/>
      <c r="L78" s="1026"/>
      <c r="M78" s="292" t="s">
        <v>933</v>
      </c>
      <c r="Z78" s="761">
        <v>0</v>
      </c>
    </row>
    <row s="1638" customFormat="1" customHeight="1" ht="22.5" hidden="1">
      <c r="A79" s="2414"/>
      <c r="B79" s="514"/>
      <c r="D79" s="668" t="s">
        <v>90</v>
      </c>
      <c r="E79" s="725" t="s">
        <v>934</v>
      </c>
      <c r="F79" s="663" t="s">
        <v>880</v>
      </c>
      <c r="G79" s="727"/>
      <c r="H79" s="1026"/>
      <c r="I79" s="727"/>
      <c r="J79" s="1026"/>
      <c r="K79" s="727"/>
      <c r="L79" s="1026"/>
      <c r="M79" s="292" t="s">
        <v>935</v>
      </c>
      <c r="Z79" s="761">
        <v>0</v>
      </c>
    </row>
    <row s="1638" customFormat="1" customHeight="1" ht="11.25" hidden="1">
      <c r="A80" s="2414"/>
      <c r="B80" s="514"/>
      <c r="D80" s="668" t="s">
        <v>325</v>
      </c>
      <c r="E80" s="726" t="s">
        <v>936</v>
      </c>
      <c r="F80" s="663" t="s">
        <v>880</v>
      </c>
      <c r="G80" s="727"/>
      <c r="H80" s="1026"/>
      <c r="I80" s="727"/>
      <c r="J80" s="1026"/>
      <c r="K80" s="727"/>
      <c r="L80" s="1026"/>
      <c r="M80" s="292"/>
      <c r="Z80" s="761">
        <v>0</v>
      </c>
    </row>
    <row s="1638" customFormat="1" customHeight="1" ht="11.25" hidden="1">
      <c r="A81" s="2414"/>
      <c r="B81" s="514"/>
      <c r="D81" s="668" t="s">
        <v>333</v>
      </c>
      <c r="E81" s="726" t="s">
        <v>937</v>
      </c>
      <c r="F81" s="663" t="s">
        <v>880</v>
      </c>
      <c r="G81" s="727"/>
      <c r="H81" s="1026"/>
      <c r="I81" s="727"/>
      <c r="J81" s="1026"/>
      <c r="K81" s="727"/>
      <c r="L81" s="1026"/>
      <c r="M81" s="292"/>
      <c r="Z81" s="761">
        <v>0</v>
      </c>
    </row>
    <row s="1638" customFormat="1" customHeight="1" ht="11.25" hidden="1">
      <c r="A82" s="2414"/>
      <c r="B82" s="514"/>
      <c r="D82" s="668" t="s">
        <v>335</v>
      </c>
      <c r="E82" s="726" t="s">
        <v>938</v>
      </c>
      <c r="F82" s="663" t="s">
        <v>880</v>
      </c>
      <c r="G82" s="727"/>
      <c r="H82" s="1026"/>
      <c r="I82" s="727"/>
      <c r="J82" s="1026"/>
      <c r="K82" s="727"/>
      <c r="L82" s="1026"/>
      <c r="M82" s="292"/>
      <c r="Z82" s="761">
        <v>0</v>
      </c>
    </row>
    <row s="1638" customFormat="1" customHeight="1" ht="11.25" hidden="1">
      <c r="A83" s="2414"/>
      <c r="B83" s="514"/>
      <c r="D83" s="668" t="s">
        <v>337</v>
      </c>
      <c r="E83" s="726" t="s">
        <v>939</v>
      </c>
      <c r="F83" s="663" t="s">
        <v>880</v>
      </c>
      <c r="G83" s="727"/>
      <c r="H83" s="1026"/>
      <c r="I83" s="727"/>
      <c r="J83" s="1026"/>
      <c r="K83" s="727"/>
      <c r="L83" s="1026"/>
      <c r="M83" s="292"/>
      <c r="Z83" s="761">
        <v>0</v>
      </c>
    </row>
    <row s="1638" customFormat="1" customHeight="1" ht="11.25" hidden="1">
      <c r="A84" s="2414"/>
      <c r="B84" s="514"/>
      <c r="D84" s="668" t="s">
        <v>940</v>
      </c>
      <c r="E84" s="726" t="s">
        <v>941</v>
      </c>
      <c r="F84" s="663" t="s">
        <v>880</v>
      </c>
      <c r="G84" s="727"/>
      <c r="H84" s="1026"/>
      <c r="I84" s="727"/>
      <c r="J84" s="1026"/>
      <c r="K84" s="727"/>
      <c r="L84" s="1026"/>
      <c r="M84" s="292"/>
      <c r="Z84" s="761">
        <v>0</v>
      </c>
    </row>
    <row s="1638" customFormat="1" customHeight="1" ht="11.25" hidden="1">
      <c r="A85" s="2414"/>
      <c r="B85" s="514"/>
      <c r="D85" s="668" t="s">
        <v>942</v>
      </c>
      <c r="E85" s="726" t="s">
        <v>943</v>
      </c>
      <c r="F85" s="663" t="s">
        <v>880</v>
      </c>
      <c r="G85" s="727"/>
      <c r="H85" s="1026"/>
      <c r="I85" s="727"/>
      <c r="J85" s="1026"/>
      <c r="K85" s="727"/>
      <c r="L85" s="1026"/>
      <c r="M85" s="292"/>
      <c r="Z85" s="761">
        <v>0</v>
      </c>
    </row>
    <row s="1638" customFormat="1" customHeight="1" ht="11.25" hidden="1">
      <c r="A86" s="2414"/>
      <c r="B86" s="514"/>
      <c r="D86" s="668" t="s">
        <v>944</v>
      </c>
      <c r="E86" s="726" t="s">
        <v>945</v>
      </c>
      <c r="F86" s="663" t="s">
        <v>880</v>
      </c>
      <c r="G86" s="727"/>
      <c r="H86" s="1026"/>
      <c r="I86" s="727"/>
      <c r="J86" s="1026"/>
      <c r="K86" s="727"/>
      <c r="L86" s="1026"/>
      <c r="M86" s="292"/>
      <c r="Z86" s="761">
        <v>0</v>
      </c>
    </row>
    <row s="1638" customFormat="1" customHeight="1" ht="45" hidden="1">
      <c r="A87" s="2414"/>
      <c r="B87" s="514"/>
      <c r="D87" s="668" t="s">
        <v>91</v>
      </c>
      <c r="E87" s="669" t="s">
        <v>946</v>
      </c>
      <c r="F87" s="663" t="s">
        <v>880</v>
      </c>
      <c r="G87" s="727"/>
      <c r="H87" s="1026"/>
      <c r="I87" s="727"/>
      <c r="J87" s="1026"/>
      <c r="K87" s="727"/>
      <c r="L87" s="1026"/>
      <c r="M87" s="292" t="s">
        <v>947</v>
      </c>
      <c r="Z87" s="761">
        <v>0</v>
      </c>
    </row>
    <row s="1638" customFormat="1" customHeight="1" ht="11.25" hidden="1">
      <c r="A88" s="2414"/>
      <c r="B88" s="514"/>
      <c r="D88" s="668" t="s">
        <v>763</v>
      </c>
      <c r="E88" s="726" t="s">
        <v>936</v>
      </c>
      <c r="F88" s="663" t="s">
        <v>880</v>
      </c>
      <c r="G88" s="727"/>
      <c r="H88" s="1026"/>
      <c r="I88" s="727"/>
      <c r="J88" s="1026"/>
      <c r="K88" s="727"/>
      <c r="L88" s="1026"/>
      <c r="M88" s="292"/>
      <c r="Z88" s="761">
        <v>0</v>
      </c>
    </row>
    <row s="1638" customFormat="1" customHeight="1" ht="11.25" hidden="1">
      <c r="A89" s="2414"/>
      <c r="B89" s="514"/>
      <c r="D89" s="668" t="s">
        <v>807</v>
      </c>
      <c r="E89" s="726" t="s">
        <v>937</v>
      </c>
      <c r="F89" s="663" t="s">
        <v>880</v>
      </c>
      <c r="G89" s="727"/>
      <c r="H89" s="1026"/>
      <c r="I89" s="727"/>
      <c r="J89" s="1026"/>
      <c r="K89" s="727"/>
      <c r="L89" s="1026"/>
      <c r="M89" s="292"/>
      <c r="Z89" s="761">
        <v>0</v>
      </c>
    </row>
    <row s="1638" customFormat="1" customHeight="1" ht="11.25" hidden="1">
      <c r="A90" s="2414"/>
      <c r="B90" s="514"/>
      <c r="D90" s="668" t="s">
        <v>810</v>
      </c>
      <c r="E90" s="726" t="s">
        <v>938</v>
      </c>
      <c r="F90" s="663" t="s">
        <v>880</v>
      </c>
      <c r="G90" s="727"/>
      <c r="H90" s="1026"/>
      <c r="I90" s="727"/>
      <c r="J90" s="1026"/>
      <c r="K90" s="727"/>
      <c r="L90" s="1026"/>
      <c r="M90" s="292"/>
      <c r="Z90" s="761">
        <v>0</v>
      </c>
    </row>
    <row s="1638" customFormat="1" customHeight="1" ht="11.25" hidden="1">
      <c r="A91" s="2414"/>
      <c r="B91" s="514"/>
      <c r="D91" s="668" t="s">
        <v>898</v>
      </c>
      <c r="E91" s="726" t="s">
        <v>939</v>
      </c>
      <c r="F91" s="663" t="s">
        <v>880</v>
      </c>
      <c r="G91" s="727"/>
      <c r="H91" s="1026"/>
      <c r="I91" s="727"/>
      <c r="J91" s="1026"/>
      <c r="K91" s="727"/>
      <c r="L91" s="1026"/>
      <c r="M91" s="292"/>
      <c r="Z91" s="761">
        <v>0</v>
      </c>
    </row>
    <row s="1638" customFormat="1" customHeight="1" ht="11.25" hidden="1">
      <c r="A92" s="2414"/>
      <c r="B92" s="514"/>
      <c r="D92" s="668" t="s">
        <v>900</v>
      </c>
      <c r="E92" s="726" t="s">
        <v>941</v>
      </c>
      <c r="F92" s="663" t="s">
        <v>880</v>
      </c>
      <c r="G92" s="727"/>
      <c r="H92" s="1026"/>
      <c r="I92" s="727"/>
      <c r="J92" s="1026"/>
      <c r="K92" s="727"/>
      <c r="L92" s="1026"/>
      <c r="M92" s="292"/>
      <c r="Z92" s="761">
        <v>0</v>
      </c>
    </row>
    <row s="1638" customFormat="1" customHeight="1" ht="11.25" hidden="1">
      <c r="A93" s="2414"/>
      <c r="B93" s="514"/>
      <c r="D93" s="668" t="s">
        <v>948</v>
      </c>
      <c r="E93" s="726" t="s">
        <v>943</v>
      </c>
      <c r="F93" s="663" t="s">
        <v>880</v>
      </c>
      <c r="G93" s="727"/>
      <c r="H93" s="1026"/>
      <c r="I93" s="727"/>
      <c r="J93" s="1026"/>
      <c r="K93" s="727"/>
      <c r="L93" s="1026"/>
      <c r="M93" s="292"/>
      <c r="Z93" s="761">
        <v>0</v>
      </c>
    </row>
    <row s="1638" customFormat="1" customHeight="1" ht="11.25" hidden="1">
      <c r="A94" s="2414"/>
      <c r="B94" s="514"/>
      <c r="D94" s="668" t="s">
        <v>949</v>
      </c>
      <c r="E94" s="726" t="s">
        <v>945</v>
      </c>
      <c r="F94" s="663" t="s">
        <v>880</v>
      </c>
      <c r="G94" s="727"/>
      <c r="H94" s="1026"/>
      <c r="I94" s="727"/>
      <c r="J94" s="1026"/>
      <c r="K94" s="727"/>
      <c r="L94" s="1026"/>
      <c r="M94" s="292"/>
      <c r="Z94" s="761">
        <v>0</v>
      </c>
    </row>
    <row s="1638" customFormat="1" customHeight="1" ht="24.75" hidden="1">
      <c r="A95" s="2414"/>
      <c r="B95" s="514"/>
      <c r="D95" s="668" t="s">
        <v>110</v>
      </c>
      <c r="E95" s="669" t="s">
        <v>950</v>
      </c>
      <c r="F95" s="728" t="s">
        <v>557</v>
      </c>
      <c r="G95" s="730"/>
      <c r="H95" s="1026"/>
      <c r="I95" s="730"/>
      <c r="J95" s="1026"/>
      <c r="K95" s="730"/>
      <c r="L95" s="1026"/>
      <c r="M95" s="292" t="s">
        <v>951</v>
      </c>
      <c r="Z95" s="761">
        <v>0</v>
      </c>
    </row>
    <row s="1638" customFormat="1" customHeight="1" ht="33.75" hidden="1">
      <c r="A96" s="2414"/>
      <c r="B96" s="514"/>
      <c r="D96" s="668" t="s">
        <v>92</v>
      </c>
      <c r="E96" s="669" t="s">
        <v>952</v>
      </c>
      <c r="F96" s="729" t="s">
        <v>841</v>
      </c>
      <c r="G96" s="731"/>
      <c r="H96" s="1026"/>
      <c r="I96" s="731"/>
      <c r="J96" s="1026"/>
      <c r="K96" s="731"/>
      <c r="L96" s="1026"/>
      <c r="M96" s="292"/>
      <c r="Z96" s="761">
        <v>0</v>
      </c>
    </row>
    <row s="1638" customFormat="1" customHeight="1" ht="22.5" hidden="1">
      <c r="A97" s="2414"/>
      <c r="B97" s="514" t="s">
        <v>582</v>
      </c>
      <c r="D97" s="668" t="s">
        <v>93</v>
      </c>
      <c r="E97" s="669" t="s">
        <v>953</v>
      </c>
      <c r="F97" s="729" t="s">
        <v>307</v>
      </c>
      <c r="G97" s="388"/>
      <c r="H97" s="1026"/>
      <c r="I97" s="388"/>
      <c r="J97" s="1026"/>
      <c r="K97" s="2661"/>
      <c r="L97" s="1026"/>
      <c r="M97" s="292" t="s">
        <v>635</v>
      </c>
      <c r="Z97" s="761">
        <v>0</v>
      </c>
    </row>
    <row s="1638" customFormat="1" customHeight="1" ht="45" hidden="1">
      <c r="A98" s="2414"/>
      <c r="B98" s="514" t="s">
        <v>582</v>
      </c>
      <c r="D98" s="668" t="s">
        <v>819</v>
      </c>
      <c r="E98" s="670" t="s">
        <v>954</v>
      </c>
      <c r="F98" s="724" t="s">
        <v>307</v>
      </c>
      <c r="G98" s="388"/>
      <c r="H98" s="1026"/>
      <c r="I98" s="388"/>
      <c r="J98" s="1026"/>
      <c r="K98" s="2661"/>
      <c r="L98" s="1026"/>
      <c r="M98" s="292" t="s">
        <v>635</v>
      </c>
      <c r="Z98" s="761">
        <v>0</v>
      </c>
    </row>
    <row s="1638" customFormat="1" customHeight="1" ht="95.25" hidden="1">
      <c r="A99" s="2414"/>
      <c r="B99" s="514" t="s">
        <v>582</v>
      </c>
      <c r="D99" s="668" t="s">
        <v>111</v>
      </c>
      <c r="E99" s="669" t="s">
        <v>955</v>
      </c>
      <c r="F99" s="724" t="s">
        <v>307</v>
      </c>
      <c r="G99" s="388"/>
      <c r="H99" s="1026"/>
      <c r="I99" s="388"/>
      <c r="J99" s="1026"/>
      <c r="K99" s="2661"/>
      <c r="L99" s="1026"/>
      <c r="M99" s="292" t="s">
        <v>635</v>
      </c>
      <c r="Z99" s="761">
        <v>0</v>
      </c>
    </row>
    <row s="1638" customFormat="1" customHeight="1" ht="22.5" hidden="1">
      <c r="A100" s="2414"/>
      <c r="B100" s="514" t="s">
        <v>582</v>
      </c>
      <c r="D100" s="668" t="s">
        <v>151</v>
      </c>
      <c r="E100" s="669" t="s">
        <v>956</v>
      </c>
      <c r="F100" s="724" t="s">
        <v>307</v>
      </c>
      <c r="G100" s="388"/>
      <c r="H100" s="1026"/>
      <c r="I100" s="388"/>
      <c r="J100" s="1026"/>
      <c r="K100" s="2661"/>
      <c r="L100" s="1026"/>
      <c r="M100" s="292" t="s">
        <v>635</v>
      </c>
      <c r="Z100" s="761">
        <v>0</v>
      </c>
    </row>
    <row s="1638" customFormat="1" customHeight="1" ht="11.549999999999999">
      <c r="A101" s="1036"/>
      <c r="B101" s="521"/>
      <c r="D101" s="1037"/>
      <c r="E101" s="1038"/>
      <c r="K101" s="1638"/>
      <c r="L101" s="1638"/>
      <c r="Z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hyperlinks>
    <hyperlink ref="I62" r:id="rId1" xr:uid="{1BE35FA2-E3C9-8072-0195-0.322D3E6D}"/>
    <hyperlink ref="K62" r:id="rId2" tooltip="Кликните по гиперссылке, чтобы перейти по ней или отредактировать её" xr:uid="{DA7F46A7-BC53-59DA-B45F-0.A78D0655}"/>
    <hyperlink ref="I63" r:id="rId3" xr:uid="{47634747-4E08-BD51-2955-0.B7F51AEC}"/>
    <hyperlink ref="K63" r:id="rId4" tooltip="Кликните по гиперссылке, чтобы перейти по ней или отредактировать её" xr:uid="{75A71017-4106-8923-B77A-0.66AB592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35D97-4EF5-6041-9CCA-0.7AEA1A7F}"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АО "Водоканал"</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105</v>
      </c>
      <c r="E9" s="2149"/>
      <c r="F9" s="2150" t="s">
        <v>106</v>
      </c>
      <c r="G9" s="2151"/>
      <c r="H9" s="2151"/>
      <c r="I9" s="2151"/>
      <c r="J9" s="2154" t="s">
        <v>107</v>
      </c>
      <c r="K9" s="2154"/>
      <c r="L9" s="2154"/>
      <c r="M9" s="2154"/>
      <c r="AM9" s="586">
        <v>18</v>
      </c>
    </row>
    <row customHeight="1" ht="24">
      <c r="A10" s="2148"/>
      <c r="B10" s="595"/>
      <c r="C10" s="528"/>
      <c r="D10" s="526" t="s">
        <v>88</v>
      </c>
      <c r="E10" s="526" t="s">
        <v>89</v>
      </c>
      <c r="F10" s="526" t="s">
        <v>108</v>
      </c>
      <c r="G10" s="2155" t="s">
        <v>88</v>
      </c>
      <c r="H10" s="2156"/>
      <c r="I10" s="526" t="s">
        <v>89</v>
      </c>
      <c r="J10" s="526" t="s">
        <v>108</v>
      </c>
      <c r="K10" s="2155" t="s">
        <v>88</v>
      </c>
      <c r="L10" s="2156"/>
      <c r="M10" s="526" t="s">
        <v>89</v>
      </c>
      <c r="N10" s="1630"/>
      <c r="AM10" s="586">
        <v>23</v>
      </c>
    </row>
    <row s="1853" customFormat="1" customHeight="1" ht="11.25" hidden="1">
      <c r="A11" s="596"/>
      <c r="B11" s="596"/>
      <c r="C11" s="596"/>
      <c r="D11" s="597" t="s">
        <v>99</v>
      </c>
      <c r="E11" s="597" t="s">
        <v>109</v>
      </c>
      <c r="F11" s="597" t="s">
        <v>90</v>
      </c>
      <c r="G11" s="2137" t="s">
        <v>91</v>
      </c>
      <c r="H11" s="2138"/>
      <c r="I11" s="597" t="s">
        <v>110</v>
      </c>
      <c r="J11" s="597" t="s">
        <v>92</v>
      </c>
      <c r="K11" s="2139" t="s">
        <v>93</v>
      </c>
      <c r="L11" s="2140"/>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3" customFormat="1" customHeight="1" ht="15.75">
      <c r="A13" s="296"/>
      <c r="B13" s="296"/>
      <c r="C13" s="529"/>
      <c r="D13" s="2130" t="s">
        <v>99</v>
      </c>
      <c r="E13" s="2131" t="str">
        <f>INDEX(VD_NAME_LIST,MATCH("4189671",VD_ID_LIST,0))</f>
        <v>Холодное водоснабжение. Питьевая вода</v>
      </c>
      <c r="F13" s="2134" t="s">
        <v>19</v>
      </c>
      <c r="G13" s="2135"/>
      <c r="H13" s="2136">
        <v>1</v>
      </c>
      <c r="I13" s="2657" t="s">
        <v>22</v>
      </c>
      <c r="J13" s="2129" t="s">
        <v>19</v>
      </c>
      <c r="K13" s="605"/>
      <c r="L13" s="530" t="s">
        <v>99</v>
      </c>
      <c r="M13" s="606" t="s">
        <v>22</v>
      </c>
      <c r="N13" s="815"/>
      <c r="O13" s="1419" t="s">
        <v>116</v>
      </c>
      <c r="P13" s="1416" t="str">
        <f>$E$13</f>
        <v>Холодное водоснабжение. Питьевая вода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30"/>
      <c r="E14" s="2132"/>
      <c r="F14" s="2129"/>
      <c r="G14" s="2135"/>
      <c r="H14" s="2136"/>
      <c r="I14" s="2658" t="s">
        <v>22</v>
      </c>
      <c r="J14" s="2129"/>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30"/>
      <c r="E15" s="2133"/>
      <c r="F15" s="2129"/>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0" t="s">
        <v>121</v>
      </c>
      <c r="D16" s="2130" t="s">
        <v>109</v>
      </c>
      <c r="E16" s="2131" t="str">
        <f>INDEX(VD_NAME_LIST,MATCH("4189677",VD_ID_LIST,0))</f>
        <v>Подключение (технологическое присоединение) к централизованной системе водоснабжения</v>
      </c>
      <c r="F16" s="2129" t="s">
        <v>19</v>
      </c>
      <c r="G16" s="2579"/>
      <c r="H16" s="2149">
        <v>1</v>
      </c>
      <c r="I16" s="2581" t="str">
        <f>IF(U16="","",INDEX(TERRITORY_MR_LIST,MATCH(U16,TERRITORY_LIST_ID,0)))</f>
        <v/>
      </c>
      <c r="J16" s="2129" t="s">
        <v>19</v>
      </c>
      <c r="K16" s="835"/>
      <c r="L16" s="1784" t="s">
        <v>99</v>
      </c>
      <c r="M16" s="606"/>
      <c r="N16" s="607"/>
      <c r="O16" s="607" t="s">
        <v>122</v>
      </c>
      <c r="P16" s="607" t="str">
        <f>$E$16</f>
        <v>Подключение (технологическое присоединение) к централизованной системе водоснабжения</v>
      </c>
      <c r="Q16" s="607" t="str">
        <f>IF($F$16="нет","без дифференциации",$I$16)</f>
        <v>без дифференциации</v>
      </c>
      <c r="R16" s="607" t="str">
        <f>IF($J$16="нет","без дифференциации",$M$16)</f>
        <v>без дифференциации</v>
      </c>
      <c r="S16" s="607"/>
      <c r="T16" s="607"/>
      <c r="U16" s="608"/>
      <c r="V16" s="607" t="s">
        <v>123</v>
      </c>
      <c r="W16" s="607"/>
      <c r="X16" s="598"/>
      <c r="Y16" s="598" t="s">
        <v>118</v>
      </c>
      <c r="Z16" s="598">
        <v>1705000</v>
      </c>
      <c r="AA16" s="598"/>
      <c r="AB16" s="598"/>
      <c r="AC16" s="598"/>
      <c r="AD16" s="598"/>
      <c r="AE16" s="598"/>
      <c r="AF16" s="598"/>
      <c r="AG16" s="598"/>
      <c r="AH16" s="598"/>
      <c r="AI16" s="598"/>
      <c r="AJ16" s="598"/>
      <c r="AK16" s="598"/>
      <c r="AL16" s="598"/>
      <c r="AM16" s="1853"/>
    </row>
    <row customHeight="1" ht="15">
      <c r="A17" s="426"/>
      <c r="B17" s="426"/>
      <c r="C17" s="179"/>
      <c r="D17" s="2130"/>
      <c r="E17" s="2132"/>
      <c r="F17" s="2129"/>
      <c r="G17" s="2580"/>
      <c r="H17" s="2149"/>
      <c r="I17" s="2582"/>
      <c r="J17" s="2129"/>
      <c r="K17" s="424"/>
      <c r="L17" s="180"/>
      <c r="M17" s="610" t="s">
        <v>119</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3"/>
    </row>
    <row customHeight="1" ht="15">
      <c r="A18" s="426"/>
      <c r="B18" s="426"/>
      <c r="C18" s="179"/>
      <c r="D18" s="2130"/>
      <c r="E18" s="2133"/>
      <c r="F18" s="2129"/>
      <c r="G18" s="424"/>
      <c r="H18" s="180"/>
      <c r="I18" s="583" t="s">
        <v>120</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3"/>
    </row>
    <row customHeight="1" ht="15.75">
      <c r="A19" s="612"/>
      <c r="B19" s="138"/>
      <c r="C19" s="809"/>
      <c r="D19" s="424"/>
      <c r="E19" s="574" t="s">
        <v>124</v>
      </c>
      <c r="F19" s="180"/>
      <c r="G19" s="180"/>
      <c r="H19" s="180"/>
      <c r="I19" s="180"/>
      <c r="J19" s="180"/>
      <c r="K19" s="180" t="s">
        <v>22</v>
      </c>
      <c r="L19" s="180"/>
      <c r="M19" s="611"/>
      <c r="N19" s="1630"/>
      <c r="AM19" s="586">
        <v>15</v>
      </c>
    </row>
    <row customHeight="1" ht="11.25" hidden="1">
      <c r="A20" s="586" t="s">
        <v>82</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007DA-9D41-C656-F922-0.F9DEED5D}"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19"/>
      <c r="C3" s="2420" t="s">
        <v>121</v>
      </c>
      <c r="D3" s="692" t="str">
        <f>B3&amp;".1"</f>
        <v>.1</v>
      </c>
      <c r="E3" s="693" t="s">
        <v>957</v>
      </c>
      <c r="F3" s="694" t="s">
        <v>307</v>
      </c>
      <c r="G3" s="689"/>
      <c r="H3" s="404"/>
      <c r="I3" s="689"/>
      <c r="J3" s="404"/>
      <c r="K3" s="2375"/>
      <c r="L3" s="821"/>
      <c r="M3" s="292" t="s">
        <v>958</v>
      </c>
      <c r="X3" s="508">
        <v>0</v>
      </c>
    </row>
    <row customHeight="1" ht="15" hidden="1">
      <c r="A4" s="508"/>
      <c r="B4" s="2419"/>
      <c r="C4" s="2420"/>
      <c r="D4" s="692" t="str">
        <f>B3&amp;".2"</f>
        <v>.2</v>
      </c>
      <c r="E4" s="693" t="s">
        <v>959</v>
      </c>
      <c r="F4" s="694" t="s">
        <v>307</v>
      </c>
      <c r="G4" s="1740" t="s">
        <v>22</v>
      </c>
      <c r="H4" s="404"/>
      <c r="I4" s="1740" t="s">
        <v>22</v>
      </c>
      <c r="J4" s="404"/>
      <c r="K4" s="1740" t="s">
        <v>22</v>
      </c>
      <c r="L4" s="821"/>
      <c r="M4" s="292" t="s">
        <v>960</v>
      </c>
      <c r="X4" s="508">
        <v>0</v>
      </c>
    </row>
    <row s="1369" customFormat="1" customHeight="1" ht="15" hidden="1">
      <c r="C5" s="675"/>
      <c r="K5" s="1369"/>
      <c r="L5" s="1369"/>
      <c r="W5" s="423"/>
      <c r="X5" s="420">
        <v>0</v>
      </c>
    </row>
    <row customHeight="1" ht="22.5" hidden="1">
      <c r="A6" s="508"/>
      <c r="B6" s="2419"/>
      <c r="C6" s="2420" t="s">
        <v>121</v>
      </c>
      <c r="D6" s="692" t="str">
        <f>B6&amp;".1"</f>
        <v>.1</v>
      </c>
      <c r="E6" s="693" t="s">
        <v>961</v>
      </c>
      <c r="F6" s="694" t="s">
        <v>307</v>
      </c>
      <c r="G6" s="689"/>
      <c r="H6" s="404"/>
      <c r="I6" s="689"/>
      <c r="J6" s="404"/>
      <c r="K6" s="2375"/>
      <c r="L6" s="821"/>
      <c r="M6" s="292" t="s">
        <v>962</v>
      </c>
      <c r="X6" s="508">
        <v>0</v>
      </c>
    </row>
    <row customHeight="1" ht="15" hidden="1">
      <c r="A7" s="508"/>
      <c r="B7" s="2419"/>
      <c r="C7" s="2420"/>
      <c r="D7" s="692" t="str">
        <f>B6&amp;".2"</f>
        <v>.2</v>
      </c>
      <c r="E7" s="693" t="s">
        <v>959</v>
      </c>
      <c r="F7" s="694" t="s">
        <v>307</v>
      </c>
      <c r="G7" s="1740" t="s">
        <v>22</v>
      </c>
      <c r="H7" s="404"/>
      <c r="I7" s="1740" t="s">
        <v>22</v>
      </c>
      <c r="J7" s="404"/>
      <c r="K7" s="1740" t="s">
        <v>22</v>
      </c>
      <c r="L7" s="821"/>
      <c r="M7" s="292" t="s">
        <v>960</v>
      </c>
      <c r="X7" s="508">
        <v>0</v>
      </c>
    </row>
    <row s="1369" customFormat="1" customHeight="1" ht="15" hidden="1">
      <c r="C8" s="675"/>
      <c r="K8" s="1369"/>
      <c r="L8" s="1369"/>
      <c r="W8" s="423"/>
      <c r="X8" s="420">
        <v>0</v>
      </c>
    </row>
    <row customHeight="1" ht="22.5" hidden="1">
      <c r="A9" s="508"/>
      <c r="B9" s="2419"/>
      <c r="C9" s="2420" t="s">
        <v>121</v>
      </c>
      <c r="D9" s="692" t="str">
        <f>B9&amp;".1"</f>
        <v>.1</v>
      </c>
      <c r="E9" s="693" t="s">
        <v>963</v>
      </c>
      <c r="F9" s="694" t="s">
        <v>307</v>
      </c>
      <c r="G9" s="700" t="s">
        <v>22</v>
      </c>
      <c r="H9" s="404" t="s">
        <v>22</v>
      </c>
      <c r="I9" s="700" t="s">
        <v>22</v>
      </c>
      <c r="J9" s="404" t="s">
        <v>22</v>
      </c>
      <c r="K9" s="864" t="s">
        <v>22</v>
      </c>
      <c r="L9" s="821" t="s">
        <v>22</v>
      </c>
      <c r="M9" s="292"/>
      <c r="X9" s="508">
        <v>0</v>
      </c>
    </row>
    <row customHeight="1" ht="15" hidden="1">
      <c r="A10" s="508"/>
      <c r="B10" s="2419"/>
      <c r="C10" s="2420"/>
      <c r="D10" s="692" t="str">
        <f>B9&amp;".2"</f>
        <v>.2</v>
      </c>
      <c r="E10" s="693" t="s">
        <v>964</v>
      </c>
      <c r="F10" s="694" t="s">
        <v>307</v>
      </c>
      <c r="G10" s="1734" t="s">
        <v>22</v>
      </c>
      <c r="H10" s="404" t="s">
        <v>22</v>
      </c>
      <c r="I10" s="1734" t="s">
        <v>22</v>
      </c>
      <c r="J10" s="404" t="s">
        <v>22</v>
      </c>
      <c r="K10" s="1734" t="s">
        <v>22</v>
      </c>
      <c r="L10" s="821" t="s">
        <v>22</v>
      </c>
      <c r="M10" s="292" t="s">
        <v>965</v>
      </c>
      <c r="X10" s="508">
        <v>0</v>
      </c>
    </row>
    <row customHeight="1" ht="15" hidden="1">
      <c r="A11" s="508"/>
      <c r="B11" s="2419"/>
      <c r="C11" s="2420"/>
      <c r="D11" s="692" t="str">
        <f>B9&amp;".3"</f>
        <v>.3</v>
      </c>
      <c r="E11" s="693" t="s">
        <v>966</v>
      </c>
      <c r="F11" s="694" t="s">
        <v>307</v>
      </c>
      <c r="G11" s="1734" t="s">
        <v>22</v>
      </c>
      <c r="H11" s="404" t="s">
        <v>22</v>
      </c>
      <c r="I11" s="1734" t="s">
        <v>22</v>
      </c>
      <c r="J11" s="404" t="s">
        <v>22</v>
      </c>
      <c r="K11" s="1734" t="s">
        <v>22</v>
      </c>
      <c r="L11" s="821" t="s">
        <v>22</v>
      </c>
      <c r="M11" s="292" t="s">
        <v>967</v>
      </c>
      <c r="X11" s="508">
        <v>0</v>
      </c>
    </row>
    <row s="1369" customFormat="1" customHeight="1" ht="15" hidden="1">
      <c r="C12" s="675"/>
      <c r="K12" s="1369"/>
      <c r="L12" s="1369"/>
      <c r="W12" s="423"/>
      <c r="X12" s="420">
        <v>0</v>
      </c>
    </row>
    <row customHeight="1" ht="33.75" hidden="1">
      <c r="A13" s="508"/>
      <c r="B13" s="2419"/>
      <c r="C13" s="2420" t="s">
        <v>121</v>
      </c>
      <c r="D13" s="692" t="str">
        <f>B13&amp;".1"</f>
        <v>.1</v>
      </c>
      <c r="E13" s="693" t="s">
        <v>968</v>
      </c>
      <c r="F13" s="694" t="s">
        <v>307</v>
      </c>
      <c r="G13" s="700" t="s">
        <v>22</v>
      </c>
      <c r="H13" s="404" t="s">
        <v>22</v>
      </c>
      <c r="I13" s="700" t="s">
        <v>22</v>
      </c>
      <c r="J13" s="404" t="s">
        <v>22</v>
      </c>
      <c r="K13" s="864" t="s">
        <v>22</v>
      </c>
      <c r="L13" s="821" t="s">
        <v>22</v>
      </c>
      <c r="M13" s="292" t="s">
        <v>969</v>
      </c>
      <c r="X13" s="508">
        <v>0</v>
      </c>
    </row>
    <row customHeight="1" ht="15" hidden="1">
      <c r="B14" s="2419"/>
      <c r="C14" s="2420"/>
      <c r="D14" s="692" t="str">
        <f>B13&amp;".2"</f>
        <v>.2</v>
      </c>
      <c r="E14" s="693" t="s">
        <v>970</v>
      </c>
      <c r="F14" s="694" t="s">
        <v>307</v>
      </c>
      <c r="G14" s="1734" t="s">
        <v>22</v>
      </c>
      <c r="H14" s="404" t="s">
        <v>22</v>
      </c>
      <c r="I14" s="1734" t="s">
        <v>22</v>
      </c>
      <c r="J14" s="404" t="s">
        <v>22</v>
      </c>
      <c r="K14" s="1734" t="s">
        <v>22</v>
      </c>
      <c r="L14" s="821" t="s">
        <v>22</v>
      </c>
      <c r="M14" s="292" t="s">
        <v>971</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9"/>
      <c r="F22" s="2259"/>
      <c r="G22" s="2259"/>
      <c r="H22" s="2259"/>
      <c r="I22" s="2259"/>
      <c r="J22" s="679"/>
      <c r="K22" s="2270"/>
      <c r="L22" s="2270"/>
      <c r="M22" s="540"/>
      <c r="X22" s="508">
        <v>22</v>
      </c>
    </row>
    <row customHeight="1" ht="15.75">
      <c r="C23" s="179"/>
      <c r="D23" s="2198" t="str">
        <f>IF(org=0,"Не определено",org)</f>
        <v>АО "Водоканал"</v>
      </c>
      <c r="E23" s="2198"/>
      <c r="F23" s="2198"/>
      <c r="G23" s="2198"/>
      <c r="H23" s="2198"/>
      <c r="I23" s="2198"/>
      <c r="J23" s="679"/>
      <c r="K23" s="2271"/>
      <c r="L23" s="2271"/>
      <c r="M23" s="540"/>
      <c r="X23" s="508">
        <v>15</v>
      </c>
    </row>
    <row customHeight="1" ht="15.75">
      <c r="C24" s="179"/>
      <c r="D24" s="512"/>
      <c r="E24" s="512"/>
      <c r="F24" s="512"/>
      <c r="G24" s="540">
        <v>22</v>
      </c>
      <c r="H24" s="755"/>
      <c r="I24" s="540">
        <v>22</v>
      </c>
      <c r="J24" s="755"/>
      <c r="K24" s="1369" t="s">
        <v>22</v>
      </c>
      <c r="L24" s="755"/>
      <c r="X24" s="508">
        <v>15</v>
      </c>
    </row>
    <row s="1638" customFormat="1" customHeight="1" ht="1.05">
      <c r="A25" s="762"/>
      <c r="C25" s="179"/>
      <c r="D25" s="512"/>
      <c r="E25" s="512"/>
      <c r="F25" s="512"/>
      <c r="G25" s="540"/>
      <c r="H25" s="755"/>
      <c r="I25" s="540" t="s">
        <v>116</v>
      </c>
      <c r="J25" s="755"/>
      <c r="K25" s="1369" t="s">
        <v>122</v>
      </c>
      <c r="L25" s="755"/>
      <c r="M25" s="420"/>
      <c r="W25" s="678"/>
      <c r="X25" s="761">
        <v>1</v>
      </c>
    </row>
    <row customHeight="1" ht="15.75">
      <c r="C26" s="179"/>
      <c r="D26" s="714"/>
      <c r="E26" s="2389" t="s">
        <v>105</v>
      </c>
      <c r="F26" s="2390"/>
      <c r="G26" s="2417" t="str">
        <f>IF(G25="","",INDEX(DIFFERENTIATION_UNMERGE_VD,MATCH(G25,DIFFERENTIATION_ID_DIFF,0)))</f>
        <v/>
      </c>
      <c r="H26" s="2418"/>
      <c r="I26" s="2417" t="str">
        <f>IF(I25="","",INDEX(DIFFERENTIATION_UNMERGE_VD,MATCH(I25,DIFFERENTIATION_ID_DIFF,0)))</f>
        <v>Холодное водоснабжение. Питьевая вода</v>
      </c>
      <c r="J26" s="2418"/>
      <c r="K26" s="2417" t="str">
        <f>IF(K25="","",INDEX(DIFFERENTIATION_UNMERGE_VD,MATCH(K25,DIFFERENTIATION_ID_DIFF,0)))</f>
        <v>Подключение (технологическое присоединение) к централизованной системе водоснабжения</v>
      </c>
      <c r="L26" s="2418"/>
      <c r="M26" s="2197" t="s">
        <v>302</v>
      </c>
      <c r="X26" s="508">
        <v>15</v>
      </c>
    </row>
    <row s="1638" customFormat="1" customHeight="1" ht="15.75">
      <c r="A27" s="762"/>
      <c r="C27" s="179"/>
      <c r="D27" s="714"/>
      <c r="E27" s="2389" t="s">
        <v>563</v>
      </c>
      <c r="F27" s="2390"/>
      <c r="G27" s="2417" t="str">
        <f>IF(G25="","",INDEX(DIFFERENTIATION_UNMERGE_AREA,MATCH(G25,DIFFERENTIATION_ID_DIFF,0)))</f>
        <v/>
      </c>
      <c r="H27" s="2418"/>
      <c r="I27" s="2417" t="str">
        <f>IF(I25="","",INDEX(DIFFERENTIATION_UNMERGE_AREA,MATCH(I25,DIFFERENTIATION_ID_DIFF,0)))</f>
        <v>без дифференциации</v>
      </c>
      <c r="J27" s="2418"/>
      <c r="K27" s="2417" t="str">
        <f>IF(K25="","",INDEX(DIFFERENTIATION_UNMERGE_AREA,MATCH(K25,DIFFERENTIATION_ID_DIFF,0)))</f>
        <v>без дифференциации</v>
      </c>
      <c r="L27" s="2418"/>
      <c r="M27" s="2217"/>
      <c r="W27" s="678"/>
      <c r="X27" s="761">
        <v>15</v>
      </c>
    </row>
    <row s="1638" customFormat="1" customHeight="1" ht="15.75">
      <c r="A28" s="762"/>
      <c r="C28" s="179"/>
      <c r="D28" s="714"/>
      <c r="E28" s="2389" t="s">
        <v>564</v>
      </c>
      <c r="F28" s="2390"/>
      <c r="G28" s="2417" t="str">
        <f>IF(G25="","",INDEX(DIFFERENTIATION_UNMERGE_SYSTEM,MATCH(G25,DIFFERENTIATION_ID_DIFF,0)))</f>
        <v/>
      </c>
      <c r="H28" s="2418"/>
      <c r="I28" s="2417" t="str">
        <f>IF(I25="","",INDEX(DIFFERENTIATION_UNMERGE_SYSTEM,MATCH(I25,DIFFERENTIATION_ID_DIFF,0)))</f>
        <v>без дифференциации</v>
      </c>
      <c r="J28" s="2418"/>
      <c r="K28" s="2417" t="str">
        <f>IF(K25="","",INDEX(DIFFERENTIATION_UNMERGE_SYSTEM,MATCH(K25,DIFFERENTIATION_ID_DIFF,0)))</f>
        <v>без дифференциации</v>
      </c>
      <c r="L28" s="2418"/>
      <c r="M28" s="2217"/>
      <c r="W28" s="678"/>
      <c r="X28" s="761">
        <v>15</v>
      </c>
    </row>
    <row s="1638" customFormat="1" customHeight="1" ht="15.75">
      <c r="A29" s="762"/>
      <c r="C29" s="179"/>
      <c r="D29" s="2391" t="s">
        <v>301</v>
      </c>
      <c r="E29" s="2392"/>
      <c r="F29" s="2392"/>
      <c r="G29" s="890"/>
      <c r="H29" s="890"/>
      <c r="I29" s="890"/>
      <c r="J29" s="891"/>
      <c r="K29" s="2389"/>
      <c r="L29" s="2389"/>
      <c r="M29" s="2217"/>
      <c r="W29" s="678"/>
      <c r="X29" s="761">
        <v>15</v>
      </c>
    </row>
    <row customHeight="1" ht="35.699999999999996">
      <c r="C30" s="179"/>
      <c r="D30" s="764" t="s">
        <v>88</v>
      </c>
      <c r="E30" s="763" t="s">
        <v>303</v>
      </c>
      <c r="F30" s="763" t="s">
        <v>565</v>
      </c>
      <c r="G30" s="811" t="s">
        <v>304</v>
      </c>
      <c r="H30" s="810" t="s">
        <v>391</v>
      </c>
      <c r="I30" s="687" t="s">
        <v>304</v>
      </c>
      <c r="J30" s="468" t="s">
        <v>391</v>
      </c>
      <c r="K30" s="2284" t="s">
        <v>304</v>
      </c>
      <c r="L30" s="2388" t="s">
        <v>391</v>
      </c>
      <c r="M30" s="2223"/>
      <c r="X30" s="508">
        <v>34</v>
      </c>
    </row>
    <row customHeight="1" ht="15" hidden="1">
      <c r="C31" s="179"/>
      <c r="D31" s="596"/>
      <c r="E31" s="596"/>
      <c r="F31" s="596"/>
      <c r="G31" s="662"/>
      <c r="H31" s="662"/>
      <c r="I31" s="662"/>
      <c r="J31" s="662"/>
      <c r="K31" s="686"/>
      <c r="L31" s="686"/>
      <c r="M31" s="292"/>
      <c r="X31" s="508">
        <v>0</v>
      </c>
    </row>
    <row customHeight="1" ht="24">
      <c r="A32" s="508"/>
      <c r="B32" s="508" t="s">
        <v>972</v>
      </c>
      <c r="C32" s="529"/>
      <c r="D32" s="695">
        <v>1</v>
      </c>
      <c r="E32" s="696" t="s">
        <v>973</v>
      </c>
      <c r="F32" s="694" t="s">
        <v>307</v>
      </c>
      <c r="G32" s="816" t="s">
        <v>307</v>
      </c>
      <c r="H32" s="816" t="s">
        <v>307</v>
      </c>
      <c r="I32" s="694" t="s">
        <v>307</v>
      </c>
      <c r="J32" s="694" t="s">
        <v>307</v>
      </c>
      <c r="K32" s="2285" t="s">
        <v>307</v>
      </c>
      <c r="L32" s="2285" t="s">
        <v>307</v>
      </c>
      <c r="M32" s="292"/>
      <c r="X32" s="508">
        <v>23</v>
      </c>
    </row>
    <row customHeight="1" ht="11.549999999999999">
      <c r="A33" s="508"/>
      <c r="C33" s="508"/>
      <c r="D33" s="350"/>
      <c r="E33" s="583" t="s">
        <v>590</v>
      </c>
      <c r="F33" s="575"/>
      <c r="G33" s="575"/>
      <c r="H33" s="575"/>
      <c r="I33" s="575"/>
      <c r="J33" s="575"/>
      <c r="K33" s="2677"/>
      <c r="L33" s="2677"/>
      <c r="M33" s="576"/>
      <c r="W33" s="508"/>
      <c r="X33" s="508">
        <v>11</v>
      </c>
    </row>
    <row customHeight="1" ht="24">
      <c r="A34" s="508"/>
      <c r="B34" s="584" t="s">
        <v>640</v>
      </c>
      <c r="C34" s="529"/>
      <c r="D34" s="695">
        <v>2</v>
      </c>
      <c r="E34" s="696" t="s">
        <v>974</v>
      </c>
      <c r="F34" s="823" t="s">
        <v>307</v>
      </c>
      <c r="G34" s="823" t="s">
        <v>307</v>
      </c>
      <c r="H34" s="823" t="s">
        <v>307</v>
      </c>
      <c r="I34" s="694"/>
      <c r="J34" s="694"/>
      <c r="K34" s="2285" t="s">
        <v>307</v>
      </c>
      <c r="L34" s="2285" t="s">
        <v>307</v>
      </c>
      <c r="M34" s="292"/>
      <c r="X34" s="508">
        <v>23</v>
      </c>
    </row>
    <row customHeight="1" ht="11.549999999999999">
      <c r="A35" s="508"/>
      <c r="C35" s="508"/>
      <c r="D35" s="350"/>
      <c r="E35" s="583" t="s">
        <v>975</v>
      </c>
      <c r="F35" s="575"/>
      <c r="G35" s="697"/>
      <c r="H35" s="575"/>
      <c r="I35" s="697"/>
      <c r="J35" s="575"/>
      <c r="K35" s="2678"/>
      <c r="L35" s="2677"/>
      <c r="M35" s="576"/>
      <c r="W35" s="508"/>
      <c r="X35" s="508">
        <v>11</v>
      </c>
    </row>
    <row customHeight="1" ht="71.25">
      <c r="A36" s="508"/>
      <c r="B36" s="508" t="s">
        <v>976</v>
      </c>
      <c r="C36" s="529"/>
      <c r="D36" s="695">
        <v>3</v>
      </c>
      <c r="E36" s="696" t="s">
        <v>977</v>
      </c>
      <c r="F36" s="698" t="s">
        <v>307</v>
      </c>
      <c r="G36" s="817" t="s">
        <v>978</v>
      </c>
      <c r="H36" s="816" t="s">
        <v>307</v>
      </c>
      <c r="I36" s="527" t="s">
        <v>978</v>
      </c>
      <c r="J36" s="694" t="s">
        <v>307</v>
      </c>
      <c r="K36" s="2129" t="s">
        <v>978</v>
      </c>
      <c r="L36" s="2285" t="s">
        <v>307</v>
      </c>
      <c r="M36" s="292" t="s">
        <v>979</v>
      </c>
      <c r="X36" s="508">
        <v>68</v>
      </c>
    </row>
    <row customHeight="1" ht="11.549999999999999">
      <c r="A37" s="508"/>
      <c r="C37" s="508"/>
      <c r="D37" s="350"/>
      <c r="E37" s="583" t="s">
        <v>980</v>
      </c>
      <c r="F37" s="575"/>
      <c r="G37" s="697"/>
      <c r="H37" s="697"/>
      <c r="I37" s="697"/>
      <c r="J37" s="697"/>
      <c r="K37" s="2678"/>
      <c r="L37" s="2678"/>
      <c r="M37" s="576"/>
      <c r="W37" s="508"/>
      <c r="X37" s="508">
        <v>11</v>
      </c>
    </row>
    <row customHeight="1" ht="71.25">
      <c r="A38" s="508"/>
      <c r="B38" s="508" t="s">
        <v>981</v>
      </c>
      <c r="C38" s="529"/>
      <c r="D38" s="695">
        <v>4</v>
      </c>
      <c r="E38" s="696" t="s">
        <v>982</v>
      </c>
      <c r="F38" s="698" t="s">
        <v>307</v>
      </c>
      <c r="G38" s="817" t="s">
        <v>978</v>
      </c>
      <c r="H38" s="818" t="s">
        <v>307</v>
      </c>
      <c r="I38" s="527" t="s">
        <v>978</v>
      </c>
      <c r="J38" s="524" t="s">
        <v>307</v>
      </c>
      <c r="K38" s="2129" t="s">
        <v>978</v>
      </c>
      <c r="L38" s="2388" t="s">
        <v>307</v>
      </c>
      <c r="M38" s="682" t="s">
        <v>983</v>
      </c>
      <c r="X38" s="508">
        <v>68</v>
      </c>
    </row>
    <row customHeight="1" ht="11.549999999999999">
      <c r="A39" s="508"/>
      <c r="C39" s="508"/>
      <c r="D39" s="350"/>
      <c r="E39" s="583" t="s">
        <v>984</v>
      </c>
      <c r="F39" s="575"/>
      <c r="G39" s="575"/>
      <c r="H39" s="699"/>
      <c r="I39" s="575"/>
      <c r="J39" s="699"/>
      <c r="K39" s="2677"/>
      <c r="L39" s="2679"/>
      <c r="M39" s="576"/>
      <c r="W39" s="508"/>
      <c r="X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E0836-9C23-E7C3-2FD2-0.4D1830BB}" mc:Ignorable="x14ac xr xr2 xr3">
  <sheetPr>
    <tabColor theme="9" tint="-0.25"/>
  </sheetPr>
  <dimension ref="A1:AE20"/>
  <sheetViews>
    <sheetView topLeftCell="A1" showGridLines="0" zoomScale="85" workbookViewId="0">
      <selection activeCell="L13" sqref="L13:L14"/>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985</v>
      </c>
      <c r="H3" s="1159"/>
      <c r="AE3" s="762">
        <v>0</v>
      </c>
    </row>
    <row customHeight="1" ht="3">
      <c r="AE4" s="761">
        <v>3</v>
      </c>
    </row>
    <row customHeight="1" ht="27.299999999999997">
      <c r="F5" s="2270" t="str">
        <f>IP_NAME_FORM</f>
        <v>Форма 7. Информация об инвестиционных программах организации холодного водоснабжения и отчетах об их исполнении</v>
      </c>
      <c r="G5" s="2270"/>
      <c r="H5" s="2270"/>
      <c r="I5" s="2270"/>
      <c r="J5" s="2270"/>
      <c r="K5" s="2270"/>
      <c r="M5" s="585"/>
      <c r="AB5" s="909"/>
      <c r="AE5" s="761">
        <v>26</v>
      </c>
    </row>
    <row s="1638" customFormat="1" customHeight="1" ht="16.8">
      <c r="A6" s="1169"/>
      <c r="B6" s="1169"/>
      <c r="C6" s="1169"/>
      <c r="D6" s="1163"/>
      <c r="E6" s="1638"/>
      <c r="F6" s="2271" t="str">
        <f>IF(org=0,"Не определено",org)</f>
        <v>АО "Водоканал"</v>
      </c>
      <c r="G6" s="2271"/>
      <c r="H6" s="2271"/>
      <c r="I6" s="2271"/>
      <c r="J6" s="2271"/>
      <c r="K6" s="2271"/>
      <c r="M6" s="585"/>
      <c r="AB6" s="1151"/>
      <c r="AE6" s="1634">
        <v>16</v>
      </c>
    </row>
    <row customHeight="1" ht="10.5">
      <c r="AE7" s="761">
        <v>10</v>
      </c>
    </row>
    <row customHeight="1" ht="10.5">
      <c r="A8" s="1054"/>
      <c r="B8" s="1054"/>
      <c r="C8" s="1054"/>
      <c r="F8" s="2123" t="s">
        <v>301</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88</v>
      </c>
      <c r="G9" s="2149" t="s">
        <v>985</v>
      </c>
      <c r="H9" s="2197" t="s">
        <v>986</v>
      </c>
      <c r="I9" s="2149" t="s">
        <v>987</v>
      </c>
      <c r="J9" s="2149" t="s">
        <v>988</v>
      </c>
      <c r="K9" s="2149" t="s">
        <v>989</v>
      </c>
      <c r="L9" s="2149" t="s">
        <v>990</v>
      </c>
      <c r="M9" s="2149" t="s">
        <v>991</v>
      </c>
      <c r="N9" s="2231" t="s">
        <v>992</v>
      </c>
      <c r="O9" s="2231"/>
      <c r="P9" s="2231"/>
      <c r="Q9" s="2421" t="s">
        <v>993</v>
      </c>
      <c r="R9" s="2422"/>
      <c r="S9" s="2422"/>
      <c r="T9" s="2423"/>
      <c r="U9" s="2421" t="s">
        <v>994</v>
      </c>
      <c r="V9" s="2422"/>
      <c r="W9" s="2422"/>
      <c r="X9" s="2423"/>
      <c r="Y9" s="2123" t="s">
        <v>995</v>
      </c>
      <c r="Z9" s="2124"/>
      <c r="AA9" s="2124"/>
      <c r="AB9" s="2125"/>
      <c r="AE9" s="761">
        <v>41</v>
      </c>
    </row>
    <row customHeight="1" ht="43.050000000000004">
      <c r="A10" s="908"/>
      <c r="B10" s="908"/>
      <c r="C10" s="908"/>
      <c r="F10" s="2197"/>
      <c r="G10" s="2197"/>
      <c r="H10" s="2254"/>
      <c r="I10" s="2197"/>
      <c r="J10" s="2197"/>
      <c r="K10" s="2197"/>
      <c r="L10" s="2197"/>
      <c r="M10" s="2197"/>
      <c r="N10" s="906" t="s">
        <v>996</v>
      </c>
      <c r="O10" s="906" t="s">
        <v>997</v>
      </c>
      <c r="P10" s="907" t="s">
        <v>998</v>
      </c>
      <c r="Q10" s="918" t="s">
        <v>89</v>
      </c>
      <c r="R10" s="918" t="s">
        <v>999</v>
      </c>
      <c r="S10" s="918" t="s">
        <v>1000</v>
      </c>
      <c r="T10" s="919" t="s">
        <v>1001</v>
      </c>
      <c r="U10" s="918" t="s">
        <v>89</v>
      </c>
      <c r="V10" s="918" t="s">
        <v>1002</v>
      </c>
      <c r="W10" s="918" t="s">
        <v>1000</v>
      </c>
      <c r="X10" s="919" t="s">
        <v>1001</v>
      </c>
      <c r="Y10" s="304" t="s">
        <v>1003</v>
      </c>
      <c r="Z10" s="2123" t="s">
        <v>88</v>
      </c>
      <c r="AA10" s="2125"/>
      <c r="AB10" s="1052" t="s">
        <v>1004</v>
      </c>
      <c r="AE10" s="761">
        <v>41</v>
      </c>
    </row>
    <row s="1645" customFormat="1" customHeight="1" ht="5.25" hidden="1">
      <c r="A11" s="1055"/>
      <c r="B11" s="1055"/>
      <c r="C11" s="1055"/>
      <c r="E11" s="1053"/>
      <c r="F11" s="2428" t="s">
        <v>377</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1005</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27">
      <c r="A13" s="1169"/>
      <c r="B13" s="1169"/>
      <c r="C13" s="1169"/>
      <c r="D13" s="1163"/>
      <c r="E13" s="686" t="s">
        <v>121</v>
      </c>
      <c r="F13" s="2603" t="s">
        <v>99</v>
      </c>
      <c r="G13" s="2604" t="s">
        <v>1006</v>
      </c>
      <c r="H13" s="2605" t="s">
        <v>62</v>
      </c>
      <c r="I13" s="2607">
        <v>45229.56277777778</v>
      </c>
      <c r="J13" s="2570">
        <v>45981.56329861111</v>
      </c>
      <c r="K13" s="2609" t="s">
        <v>1007</v>
      </c>
      <c r="L13" s="2572" t="s">
        <v>1008</v>
      </c>
      <c r="M13" s="2572" t="s">
        <v>1009</v>
      </c>
      <c r="N13" s="2573" t="s">
        <v>1010</v>
      </c>
      <c r="O13" s="2573" t="s">
        <v>1011</v>
      </c>
      <c r="P13" s="2574" t="str">
        <f>DATEDIF(DATEVALUE(N13),DATEVALUE(O13),"y")&amp;"г. "&amp;DATEDIF(DATEVALUE(N13),DATEVALUE(O13),"ym")&amp;"мес. "&amp;DATEVALUE(O13)-DATE(YEAR(DATEVALUE(O13)),MONTH(DATEVALUE(O13)),1)&amp;"дн. "</f>
        <v>3г. 11мес. 30дн. </v>
      </c>
      <c r="Q13" s="2569" t="s">
        <v>1012</v>
      </c>
      <c r="R13" s="2569" t="s">
        <v>1013</v>
      </c>
      <c r="S13" s="2569" t="s">
        <v>1014</v>
      </c>
      <c r="T13" s="2570" t="s">
        <v>1015</v>
      </c>
      <c r="U13" s="2569" t="s">
        <v>1016</v>
      </c>
      <c r="V13" s="2569" t="s">
        <v>1017</v>
      </c>
      <c r="W13" s="2569" t="s">
        <v>1018</v>
      </c>
      <c r="X13" s="2570">
        <v>45981.5675462963</v>
      </c>
      <c r="Y13" s="2567" t="s">
        <v>19</v>
      </c>
      <c r="Z13" s="1810"/>
      <c r="AA13" s="1794">
        <v>1</v>
      </c>
      <c r="AB13" s="2680" t="s">
        <v>22</v>
      </c>
      <c r="AC13" s="1638"/>
      <c r="AD13" s="1639" t="s">
        <v>1019</v>
      </c>
      <c r="AE13" s="1638"/>
    </row>
    <row customHeight="1" ht="10.5">
      <c r="A14" s="1169"/>
      <c r="B14" s="1169"/>
      <c r="C14" s="1169"/>
      <c r="D14" s="1163"/>
      <c r="E14" s="950"/>
      <c r="F14" s="2603" t="s">
        <v>377</v>
      </c>
      <c r="G14" s="2604"/>
      <c r="H14" s="2606"/>
      <c r="I14" s="2608"/>
      <c r="J14" s="2571"/>
      <c r="K14" s="2609"/>
      <c r="L14" s="2572"/>
      <c r="M14" s="2572"/>
      <c r="N14" s="2573"/>
      <c r="O14" s="2573"/>
      <c r="P14" s="2574"/>
      <c r="Q14" s="2569"/>
      <c r="R14" s="2569"/>
      <c r="S14" s="2569"/>
      <c r="T14" s="2571"/>
      <c r="U14" s="2569"/>
      <c r="V14" s="2569"/>
      <c r="W14" s="2569"/>
      <c r="X14" s="2571"/>
      <c r="Y14" s="2568"/>
      <c r="Z14" s="350"/>
      <c r="AA14" s="575"/>
      <c r="AB14" s="655" t="s">
        <v>1020</v>
      </c>
      <c r="AC14" s="1638"/>
      <c r="AD14" s="1638"/>
      <c r="AE14" s="1638"/>
    </row>
    <row customHeight="1" ht="27">
      <c r="A15" s="1169"/>
      <c r="B15" s="1169"/>
      <c r="C15" s="1169"/>
      <c r="D15" s="1163"/>
      <c r="E15" s="686" t="s">
        <v>121</v>
      </c>
      <c r="F15" s="2603" t="s">
        <v>109</v>
      </c>
      <c r="G15" s="2604" t="s">
        <v>1021</v>
      </c>
      <c r="H15" s="2605" t="s">
        <v>62</v>
      </c>
      <c r="I15" s="2607">
        <v>45471.562997685185</v>
      </c>
      <c r="J15" s="2570"/>
      <c r="K15" s="2609" t="s">
        <v>1007</v>
      </c>
      <c r="L15" s="2572" t="s">
        <v>1008</v>
      </c>
      <c r="M15" s="2572" t="s">
        <v>1009</v>
      </c>
      <c r="N15" s="2573" t="s">
        <v>1022</v>
      </c>
      <c r="O15" s="2573" t="s">
        <v>1023</v>
      </c>
      <c r="P15" s="2574" t="str">
        <f>DATEDIF(DATEVALUE(N15),DATEVALUE(O15),"y")&amp;"г. "&amp;DATEDIF(DATEVALUE(N15),DATEVALUE(O15),"ym")&amp;"мес. "&amp;DATEVALUE(O15)-DATE(YEAR(DATEVALUE(O15)),MONTH(DATEVALUE(O15)),1)&amp;"дн. "</f>
        <v>13г. 6мес. 30дн. </v>
      </c>
      <c r="Q15" s="2569" t="s">
        <v>1024</v>
      </c>
      <c r="R15" s="2569" t="s">
        <v>1013</v>
      </c>
      <c r="S15" s="2569" t="s">
        <v>1025</v>
      </c>
      <c r="T15" s="2570" t="s">
        <v>1022</v>
      </c>
      <c r="U15" s="2569"/>
      <c r="V15" s="2569"/>
      <c r="W15" s="2569"/>
      <c r="X15" s="2570"/>
      <c r="Y15" s="2567" t="s">
        <v>62</v>
      </c>
      <c r="Z15" s="1810"/>
      <c r="AA15" s="1794">
        <v>1</v>
      </c>
      <c r="AB15" s="1245" t="s">
        <v>1026</v>
      </c>
      <c r="AC15" s="1638"/>
      <c r="AD15" s="1639" t="s">
        <v>1027</v>
      </c>
      <c r="AE15" s="1638"/>
    </row>
    <row customHeight="1" ht="10.5">
      <c r="A16" s="1169"/>
      <c r="B16" s="1169"/>
      <c r="C16" s="1169"/>
      <c r="D16" s="1163"/>
      <c r="E16" s="950"/>
      <c r="F16" s="2603" t="s">
        <v>99</v>
      </c>
      <c r="G16" s="2604"/>
      <c r="H16" s="2606"/>
      <c r="I16" s="2608"/>
      <c r="J16" s="2571"/>
      <c r="K16" s="2609"/>
      <c r="L16" s="2572"/>
      <c r="M16" s="2572"/>
      <c r="N16" s="2573"/>
      <c r="O16" s="2573"/>
      <c r="P16" s="2574"/>
      <c r="Q16" s="2569"/>
      <c r="R16" s="2569"/>
      <c r="S16" s="2569"/>
      <c r="T16" s="2571"/>
      <c r="U16" s="2569"/>
      <c r="V16" s="2569"/>
      <c r="W16" s="2569"/>
      <c r="X16" s="2571"/>
      <c r="Y16" s="2568"/>
      <c r="Z16" s="350"/>
      <c r="AA16" s="575"/>
      <c r="AB16" s="655" t="s">
        <v>1020</v>
      </c>
      <c r="AC16" s="1638"/>
      <c r="AD16" s="1638"/>
      <c r="AE16" s="1638"/>
    </row>
    <row customHeight="1" ht="10.5">
      <c r="F17" s="905"/>
      <c r="G17" s="653" t="s">
        <v>1028</v>
      </c>
      <c r="H17" s="1171"/>
      <c r="I17" s="575"/>
      <c r="J17" s="575"/>
      <c r="K17" s="575"/>
      <c r="L17" s="575"/>
      <c r="M17" s="575"/>
      <c r="N17" s="575"/>
      <c r="O17" s="575"/>
      <c r="P17" s="575"/>
      <c r="Q17" s="575"/>
      <c r="R17" s="575"/>
      <c r="S17" s="575"/>
      <c r="T17" s="575"/>
      <c r="U17" s="575"/>
      <c r="V17" s="575"/>
      <c r="W17" s="575"/>
      <c r="X17" s="575"/>
      <c r="Y17" s="575"/>
      <c r="Z17" s="699"/>
      <c r="AA17" s="699"/>
      <c r="AB17" s="920"/>
      <c r="AE17" s="761">
        <v>10</v>
      </c>
    </row>
    <row customHeight="1" ht="10.5">
      <c r="AE18" s="761">
        <v>10</v>
      </c>
    </row>
    <row s="1645" customFormat="1" customHeight="1" ht="10.5">
      <c r="A19" s="1170"/>
      <c r="B19" s="1170"/>
      <c r="C19" s="1170"/>
      <c r="E19" s="521"/>
      <c r="H19" s="514">
        <f>_xlfn.IFERROR(MATCH("нет",IP_MAIN_DIFFERENTIATION_EVENTS_FLAG,0),0)</f>
        <v>0</v>
      </c>
      <c r="AE19" s="514">
        <v>10</v>
      </c>
    </row>
    <row customHeight="1" ht="10.5" hidden="1">
      <c r="A20" s="898" t="s">
        <v>82</v>
      </c>
      <c r="B20" s="898">
        <v>0</v>
      </c>
      <c r="C20" s="898">
        <v>0</v>
      </c>
      <c r="D20" s="420">
        <v>0</v>
      </c>
      <c r="E20" s="512">
        <v>3</v>
      </c>
      <c r="F20" s="761">
        <v>6</v>
      </c>
      <c r="G20" s="761">
        <v>37</v>
      </c>
      <c r="H20" s="1158">
        <v>16</v>
      </c>
      <c r="I20" s="761">
        <v>19</v>
      </c>
      <c r="J20" s="761">
        <v>19</v>
      </c>
      <c r="K20" s="761">
        <v>24</v>
      </c>
      <c r="L20" s="761">
        <v>25</v>
      </c>
      <c r="M20" s="761">
        <v>25</v>
      </c>
      <c r="N20" s="761">
        <v>17</v>
      </c>
      <c r="O20" s="761">
        <v>17</v>
      </c>
      <c r="P20" s="761">
        <v>17</v>
      </c>
      <c r="Q20" s="761">
        <v>19</v>
      </c>
      <c r="R20" s="761">
        <v>19</v>
      </c>
      <c r="S20" s="761">
        <v>19</v>
      </c>
      <c r="T20" s="761">
        <v>19</v>
      </c>
      <c r="U20" s="761">
        <v>19</v>
      </c>
      <c r="V20" s="761">
        <v>19</v>
      </c>
      <c r="W20" s="761">
        <v>19</v>
      </c>
      <c r="X20" s="761">
        <v>19</v>
      </c>
      <c r="Y20" s="761">
        <v>7</v>
      </c>
      <c r="Z20" s="761">
        <v>3</v>
      </c>
      <c r="AA20" s="761">
        <v>6</v>
      </c>
      <c r="AB20" s="761">
        <v>34</v>
      </c>
      <c r="AC20" s="761">
        <v>8</v>
      </c>
      <c r="AD20" s="761">
        <v>8</v>
      </c>
      <c r="AE20" s="761">
        <v>10</v>
      </c>
    </row>
  </sheetData>
  <sheetProtection formatColumns="0" formatRows="0" autoFilter="0" sort="0" insertRows="0" insertColumns="1" deleteRows="0" deleteColumns="0"/>
  <mergeCells count="81">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 ref="F15:F16"/>
    <mergeCell ref="G15:G16"/>
    <mergeCell ref="H15:H16"/>
    <mergeCell ref="I15:I16"/>
    <mergeCell ref="J15:J16"/>
    <mergeCell ref="K15:K16"/>
    <mergeCell ref="L15:L16"/>
    <mergeCell ref="U15:U16"/>
    <mergeCell ref="V15:V16"/>
    <mergeCell ref="Y15:Y16"/>
    <mergeCell ref="S15:S16"/>
    <mergeCell ref="T15:T16"/>
    <mergeCell ref="M15:M16"/>
    <mergeCell ref="N15:N16"/>
    <mergeCell ref="O15:O16"/>
    <mergeCell ref="Q15:Q16"/>
    <mergeCell ref="R15:R16"/>
    <mergeCell ref="W15:W16"/>
    <mergeCell ref="X15:X16"/>
    <mergeCell ref="P15:P16"/>
    <mergeCell ref="E15:E16"/>
  </mergeCells>
  <dataValidations count="30">
    <dataValidation type="textLength" operator="lessThanOrEqual" allowBlank="1" showInputMessage="1" showErrorMessage="1" errorTitle="Ошибка" error="Допускается ввод не более 900 символов!" sqref="AB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5"/>
    <dataValidation type="textLength" operator="lessThanOrEqual" allowBlank="1" showInputMessage="1" showErrorMessage="1" errorTitle="Ошибка" error="Допускается ввод не более 900 символов!" sqref="W15">
      <formula1>900</formula1>
    </dataValidation>
    <dataValidation type="textLength" operator="lessThanOrEqual" allowBlank="1" showInputMessage="1" showErrorMessage="1" errorTitle="Ошибка" error="Допускается ввод не более 900 символов!" sqref="V15">
      <formula1>900</formula1>
    </dataValidation>
    <dataValidation type="textLength" operator="lessThanOrEqual" allowBlank="1" showInputMessage="1" showErrorMessage="1" errorTitle="Ошибка" error="Допускается ввод не более 900 символов!" sqref="U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5"/>
    <dataValidation type="textLength" operator="lessThanOrEqual" allowBlank="1" showInputMessage="1" showErrorMessage="1" errorTitle="Ошибка" error="Допускается ввод не более 900 символов!" sqref="S15">
      <formula1>900</formula1>
    </dataValidation>
    <dataValidation type="textLength" operator="lessThanOrEqual" allowBlank="1" showInputMessage="1" showErrorMessage="1" errorTitle="Ошибка" error="Допускается ввод не более 900 символов!" sqref="R15">
      <formula1>900</formula1>
    </dataValidation>
    <dataValidation type="textLength" operator="lessThanOrEqual" allowBlank="1" showInputMessage="1" showErrorMessage="1" errorTitle="Ошибка" error="Допускается ввод не более 900 символов!" sqref="Q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L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5">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5"/>
    <dataValidation allowBlank="1" showInputMessage="1" showErrorMessage="1" promptTitle="Ввод" prompt="Для выбора ИП необходимо два раза нажать левую кнопку мыши!" sqref="G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6FA66-F3A1-BAC7-C879-0.63A3F2C6}" mc:Ignorable="x14ac xr xr2 xr3">
  <sheetPr>
    <tabColor theme="9" tint="-0.25"/>
  </sheetPr>
  <dimension ref="A1:BG145"/>
  <sheetViews>
    <sheetView topLeftCell="A1" showGridLines="0" zoomScale="90" workbookViewId="0">
      <selection activeCell="AM72" sqref="AM72"/>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hidden="1"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5.2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7. Информация об инвестиционных программах организации холодного водоснабжения и отчетах об их исполнении</v>
      </c>
      <c r="G5" s="2270"/>
      <c r="H5" s="2270"/>
      <c r="I5" s="2270"/>
      <c r="J5" s="2270"/>
      <c r="K5" s="2270"/>
      <c r="L5" s="1138"/>
      <c r="M5" s="1138"/>
      <c r="AG5" s="909"/>
      <c r="AH5" s="1151"/>
      <c r="BG5" s="761">
        <v>26</v>
      </c>
    </row>
    <row customHeight="1" ht="10.5">
      <c r="F6" s="2198" t="str">
        <f>IF(org=0,"Не определено",org)</f>
        <v>АО "Водоканал"</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301</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1029</v>
      </c>
      <c r="G9" s="2431" t="s">
        <v>1030</v>
      </c>
      <c r="H9" s="2432"/>
      <c r="I9" s="2149" t="s">
        <v>1031</v>
      </c>
      <c r="J9" s="2149"/>
      <c r="K9" s="2149" t="s">
        <v>1032</v>
      </c>
      <c r="L9" s="2149"/>
      <c r="M9" s="2149"/>
      <c r="N9" s="2149"/>
      <c r="O9" s="2149"/>
      <c r="P9" s="2149"/>
      <c r="Q9" s="2149"/>
      <c r="R9" s="2149"/>
      <c r="S9" s="2149"/>
      <c r="T9" s="2149"/>
      <c r="U9" s="2149"/>
      <c r="V9" s="2149"/>
      <c r="W9" s="2149"/>
      <c r="X9" s="2149"/>
      <c r="Y9" s="2149"/>
      <c r="Z9" s="2214" t="s">
        <v>1033</v>
      </c>
      <c r="AA9" s="2215"/>
      <c r="AB9" s="2149" t="s">
        <v>1034</v>
      </c>
      <c r="AC9" s="2149"/>
      <c r="AD9" s="2149"/>
      <c r="AE9" s="2149"/>
      <c r="AF9" s="2197" t="s">
        <v>1035</v>
      </c>
      <c r="AG9" s="2149" t="s">
        <v>1036</v>
      </c>
      <c r="AH9" s="2149"/>
      <c r="AI9" s="2197" t="s">
        <v>1037</v>
      </c>
      <c r="AJ9" s="2149" t="s">
        <v>1038</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1039</v>
      </c>
      <c r="L10" s="2123" t="s">
        <v>1040</v>
      </c>
      <c r="M10" s="2125"/>
      <c r="N10" s="2149" t="s">
        <v>1041</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1042</v>
      </c>
      <c r="M11" s="2197" t="s">
        <v>1043</v>
      </c>
      <c r="N11" s="2149" t="s">
        <v>1044</v>
      </c>
      <c r="O11" s="2149"/>
      <c r="P11" s="2440" t="s">
        <v>1003</v>
      </c>
      <c r="Q11" s="2440" t="s">
        <v>1045</v>
      </c>
      <c r="R11" s="2440" t="s">
        <v>1046</v>
      </c>
      <c r="S11" s="2440" t="s">
        <v>1047</v>
      </c>
      <c r="T11" s="2440"/>
      <c r="U11" s="2440"/>
      <c r="V11" s="2440"/>
      <c r="W11" s="2440"/>
      <c r="X11" s="2440"/>
      <c r="Y11" s="2440"/>
      <c r="Z11" s="2216"/>
      <c r="AA11" s="2217"/>
      <c r="AB11" s="2149" t="s">
        <v>1048</v>
      </c>
      <c r="AC11" s="2149"/>
      <c r="AD11" s="2123" t="s">
        <v>1049</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89</v>
      </c>
      <c r="J12" s="1156" t="s">
        <v>1050</v>
      </c>
      <c r="K12" s="2149"/>
      <c r="L12" s="2254"/>
      <c r="M12" s="2254"/>
      <c r="N12" s="2149"/>
      <c r="O12" s="2149"/>
      <c r="P12" s="2440"/>
      <c r="Q12" s="2440"/>
      <c r="R12" s="2440"/>
      <c r="S12" s="1137" t="s">
        <v>86</v>
      </c>
      <c r="T12" s="1137" t="s">
        <v>87</v>
      </c>
      <c r="U12" s="1137" t="s">
        <v>85</v>
      </c>
      <c r="V12" s="1137" t="s">
        <v>1051</v>
      </c>
      <c r="W12" s="1137" t="s">
        <v>85</v>
      </c>
      <c r="X12" s="1137" t="s">
        <v>1052</v>
      </c>
      <c r="Y12" s="1137" t="s">
        <v>1053</v>
      </c>
      <c r="Z12" s="2222"/>
      <c r="AA12" s="2223"/>
      <c r="AB12" s="1144" t="s">
        <v>1054</v>
      </c>
      <c r="AC12" s="1144" t="s">
        <v>1055</v>
      </c>
      <c r="AD12" s="1144" t="s">
        <v>1054</v>
      </c>
      <c r="AE12" s="1144" t="s">
        <v>1055</v>
      </c>
      <c r="AF12" s="2254"/>
      <c r="AG12" s="1157" t="s">
        <v>1056</v>
      </c>
      <c r="AH12" s="1157" t="s">
        <v>1057</v>
      </c>
      <c r="AI12" s="2254"/>
      <c r="AJ12" s="1157" t="s">
        <v>1056</v>
      </c>
      <c r="AK12" s="1157" t="s">
        <v>1057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21">
      <c r="A14" s="1170" t="s">
        <v>1019</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 (01.01.2024-31.12.2027)</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88"/>
      <c r="AM14" s="1825"/>
      <c r="AN14" s="1825"/>
      <c r="AO14" s="1825"/>
      <c r="AP14" s="1825"/>
      <c r="AQ14" s="1825"/>
      <c r="AR14" s="1825"/>
      <c r="AS14" s="1825"/>
      <c r="AT14" s="1825"/>
      <c r="AU14" s="1825"/>
      <c r="AV14" s="1825"/>
      <c r="AW14" s="1825"/>
      <c r="AX14" s="1825"/>
      <c r="AY14" s="1825"/>
      <c r="AZ14" s="1825"/>
      <c r="BA14" s="1825"/>
      <c r="BB14" s="1825"/>
      <c r="BC14" s="1825"/>
      <c r="BD14" s="1825"/>
      <c r="BE14" s="1825"/>
      <c r="BF14" s="1825"/>
      <c r="BG14" s="1638"/>
    </row>
    <row customHeight="1" ht="0.75">
      <c r="A15" s="1169" t="s">
        <v>1019</v>
      </c>
      <c r="B15" s="1169"/>
      <c r="C15" s="1169"/>
      <c r="D15" s="1163"/>
      <c r="E15" s="1173"/>
      <c r="F15" s="2558">
        <v>2024</v>
      </c>
      <c r="G15" s="2537"/>
      <c r="H15" s="2562" t="s">
        <v>377</v>
      </c>
      <c r="I15" s="2563"/>
      <c r="J15" s="2564"/>
      <c r="K15" s="2564"/>
      <c r="L15" s="2556"/>
      <c r="M15" s="2290"/>
      <c r="N15" s="2036"/>
      <c r="O15" s="2035"/>
      <c r="P15" s="2036"/>
      <c r="Q15" s="2036"/>
      <c r="R15" s="2036"/>
      <c r="S15" s="2036"/>
      <c r="T15" s="2036"/>
      <c r="U15" s="2036"/>
      <c r="V15" s="2036"/>
      <c r="W15" s="2036"/>
      <c r="X15" s="2036"/>
      <c r="Y15" s="2036"/>
      <c r="Z15" s="2036"/>
      <c r="AA15" s="2036"/>
      <c r="AB15" s="2036"/>
      <c r="AC15" s="2036"/>
      <c r="AD15" s="2036"/>
      <c r="AE15" s="2036"/>
      <c r="AF15" s="2560"/>
      <c r="AG15" s="2556"/>
      <c r="AH15" s="2556"/>
      <c r="AI15" s="2560"/>
      <c r="AJ15" s="2556"/>
      <c r="AK15" s="2556"/>
      <c r="AL15" s="1988"/>
      <c r="AM15" s="1825"/>
      <c r="AN15" s="1825"/>
      <c r="AO15" s="1825"/>
      <c r="AP15" s="1825"/>
      <c r="AQ15" s="1825"/>
      <c r="AR15" s="1825"/>
      <c r="AS15" s="1825"/>
      <c r="AT15" s="1825"/>
      <c r="AU15" s="1825"/>
      <c r="AV15" s="1825"/>
      <c r="AW15" s="1825"/>
      <c r="AX15" s="1825"/>
      <c r="AY15" s="1825"/>
      <c r="AZ15" s="1825"/>
      <c r="BA15" s="1825"/>
      <c r="BB15" s="1825"/>
      <c r="BC15" s="1825"/>
      <c r="BD15" s="1825"/>
      <c r="BE15" s="1825"/>
      <c r="BF15" s="1825"/>
      <c r="BG15" s="1638"/>
    </row>
    <row customHeight="1" ht="0.75">
      <c r="A16" s="1169" t="s">
        <v>1019</v>
      </c>
      <c r="B16" s="1169"/>
      <c r="C16" s="1169"/>
      <c r="D16" s="1163"/>
      <c r="E16" s="1173"/>
      <c r="F16" s="2558"/>
      <c r="G16" s="2537"/>
      <c r="H16" s="2562"/>
      <c r="I16" s="2563"/>
      <c r="J16" s="2564"/>
      <c r="K16" s="2564"/>
      <c r="L16" s="2556"/>
      <c r="M16" s="2290"/>
      <c r="N16" s="2565"/>
      <c r="O16" s="2566"/>
      <c r="P16" s="2610"/>
      <c r="Q16" s="2561"/>
      <c r="R16" s="2561"/>
      <c r="S16" s="2561"/>
      <c r="T16" s="2561"/>
      <c r="U16" s="2561"/>
      <c r="V16" s="2561"/>
      <c r="W16" s="2561"/>
      <c r="X16" s="2561"/>
      <c r="Y16" s="2561"/>
      <c r="Z16" s="2037"/>
      <c r="AA16" s="2038"/>
      <c r="AB16" s="2038"/>
      <c r="AC16" s="2039"/>
      <c r="AD16" s="2039"/>
      <c r="AE16" s="2040"/>
      <c r="AF16" s="2560"/>
      <c r="AG16" s="2556"/>
      <c r="AH16" s="2556"/>
      <c r="AI16" s="2560"/>
      <c r="AJ16" s="2556"/>
      <c r="AK16" s="2556"/>
      <c r="AL16" s="1988"/>
      <c r="AM16" s="1825"/>
      <c r="AN16" s="1825"/>
      <c r="AO16" s="1825"/>
      <c r="AP16" s="1825"/>
      <c r="AQ16" s="1825"/>
      <c r="AR16" s="1825"/>
      <c r="AS16" s="1825"/>
      <c r="AT16" s="1825"/>
      <c r="AU16" s="1825"/>
      <c r="AV16" s="1825"/>
      <c r="AW16" s="1825"/>
      <c r="AX16" s="1825"/>
      <c r="AY16" s="1825"/>
      <c r="AZ16" s="1825"/>
      <c r="BA16" s="1825"/>
      <c r="BB16" s="1825"/>
      <c r="BC16" s="1825"/>
      <c r="BD16" s="1825"/>
      <c r="BE16" s="1825"/>
      <c r="BF16" s="1825"/>
      <c r="BG16" s="1638"/>
    </row>
    <row customHeight="1" ht="0.75">
      <c r="A17" s="1169" t="s">
        <v>1019</v>
      </c>
      <c r="B17" s="1169"/>
      <c r="C17" s="1169"/>
      <c r="D17" s="1163"/>
      <c r="E17" s="1173"/>
      <c r="F17" s="2558"/>
      <c r="G17" s="2537"/>
      <c r="H17" s="2562"/>
      <c r="I17" s="2563"/>
      <c r="J17" s="2564"/>
      <c r="K17" s="2564"/>
      <c r="L17" s="2556"/>
      <c r="M17" s="2290"/>
      <c r="N17" s="2565"/>
      <c r="O17" s="2566"/>
      <c r="P17" s="2611"/>
      <c r="Q17" s="2561"/>
      <c r="R17" s="2561"/>
      <c r="S17" s="2561"/>
      <c r="T17" s="2561"/>
      <c r="U17" s="2561"/>
      <c r="V17" s="2561"/>
      <c r="W17" s="2561"/>
      <c r="X17" s="2561"/>
      <c r="Y17" s="2561"/>
      <c r="Z17" s="2041"/>
      <c r="AA17" s="2042"/>
      <c r="AB17" s="2043"/>
      <c r="AC17" s="2044"/>
      <c r="AD17" s="2043"/>
      <c r="AE17" s="2044"/>
      <c r="AF17" s="2560"/>
      <c r="AG17" s="2556"/>
      <c r="AH17" s="2556"/>
      <c r="AI17" s="2560"/>
      <c r="AJ17" s="2556"/>
      <c r="AK17" s="2556"/>
      <c r="AL17" s="1988"/>
      <c r="AM17" s="1825"/>
      <c r="AN17" s="1825"/>
      <c r="AO17" s="1825"/>
      <c r="AP17" s="1825"/>
      <c r="AQ17" s="1825"/>
      <c r="AR17" s="1825"/>
      <c r="AS17" s="1825"/>
      <c r="AT17" s="1825"/>
      <c r="AU17" s="1825"/>
      <c r="AV17" s="1825"/>
      <c r="AW17" s="1825"/>
      <c r="AX17" s="1825"/>
      <c r="AY17" s="1825"/>
      <c r="AZ17" s="1825"/>
      <c r="BA17" s="1825"/>
      <c r="BB17" s="1825"/>
      <c r="BC17" s="1825"/>
      <c r="BD17" s="1825"/>
      <c r="BE17" s="1825"/>
      <c r="BF17" s="1825"/>
      <c r="BG17" s="1638"/>
    </row>
    <row customHeight="1" ht="0.75">
      <c r="A18" s="1169" t="s">
        <v>1019</v>
      </c>
      <c r="B18" s="1169"/>
      <c r="C18" s="1169"/>
      <c r="D18" s="1163"/>
      <c r="E18" s="1173"/>
      <c r="F18" s="2558"/>
      <c r="G18" s="2537"/>
      <c r="H18" s="2562"/>
      <c r="I18" s="2563"/>
      <c r="J18" s="2564"/>
      <c r="K18" s="2564"/>
      <c r="L18" s="2556"/>
      <c r="M18" s="2290"/>
      <c r="N18" s="2565"/>
      <c r="O18" s="2566"/>
      <c r="P18" s="2612"/>
      <c r="Q18" s="2561"/>
      <c r="R18" s="2561"/>
      <c r="S18" s="2561"/>
      <c r="T18" s="2561"/>
      <c r="U18" s="2561"/>
      <c r="V18" s="2561"/>
      <c r="W18" s="2561"/>
      <c r="X18" s="2561"/>
      <c r="Y18" s="2561"/>
      <c r="Z18" s="2037"/>
      <c r="AA18" s="2038"/>
      <c r="AB18" s="2045"/>
      <c r="AC18" s="2039"/>
      <c r="AD18" s="2039"/>
      <c r="AE18" s="2046"/>
      <c r="AF18" s="2560"/>
      <c r="AG18" s="2556"/>
      <c r="AH18" s="2556"/>
      <c r="AI18" s="2560"/>
      <c r="AJ18" s="2556"/>
      <c r="AK18" s="2556"/>
      <c r="AL18" s="1988"/>
      <c r="AM18" s="1825"/>
      <c r="AN18" s="1825"/>
      <c r="AO18" s="1825"/>
      <c r="AP18" s="1825"/>
      <c r="AQ18" s="1825"/>
      <c r="AR18" s="1825"/>
      <c r="AS18" s="1825"/>
      <c r="AT18" s="1825"/>
      <c r="AU18" s="1825"/>
      <c r="AV18" s="1825"/>
      <c r="AW18" s="1825"/>
      <c r="AX18" s="1825"/>
      <c r="AY18" s="1825"/>
      <c r="AZ18" s="1825"/>
      <c r="BA18" s="1825"/>
      <c r="BB18" s="1825"/>
      <c r="BC18" s="1825"/>
      <c r="BD18" s="1825"/>
      <c r="BE18" s="1825"/>
      <c r="BF18" s="1825"/>
      <c r="BG18" s="1638"/>
    </row>
    <row customHeight="1" ht="0.75">
      <c r="A19" s="1169" t="s">
        <v>1019</v>
      </c>
      <c r="B19" s="1169"/>
      <c r="C19" s="1169"/>
      <c r="D19" s="1163"/>
      <c r="E19" s="1173"/>
      <c r="F19" s="2558"/>
      <c r="G19" s="2537"/>
      <c r="H19" s="2562"/>
      <c r="I19" s="2563"/>
      <c r="J19" s="2564"/>
      <c r="K19" s="2564"/>
      <c r="L19" s="2556"/>
      <c r="M19" s="2290"/>
      <c r="N19" s="2038"/>
      <c r="O19" s="2038"/>
      <c r="P19" s="2045"/>
      <c r="Q19" s="2038"/>
      <c r="R19" s="2038"/>
      <c r="S19" s="2038"/>
      <c r="T19" s="2038"/>
      <c r="U19" s="2038"/>
      <c r="V19" s="2038"/>
      <c r="W19" s="2038"/>
      <c r="X19" s="2038"/>
      <c r="Y19" s="2038"/>
      <c r="Z19" s="2038"/>
      <c r="AA19" s="2038"/>
      <c r="AB19" s="2038"/>
      <c r="AC19" s="2038"/>
      <c r="AD19" s="2038"/>
      <c r="AE19" s="2047"/>
      <c r="AF19" s="2560"/>
      <c r="AG19" s="2556"/>
      <c r="AH19" s="2556"/>
      <c r="AI19" s="2560"/>
      <c r="AJ19" s="2556"/>
      <c r="AK19" s="2556"/>
      <c r="AL19" s="1988"/>
      <c r="AM19" s="1825"/>
      <c r="AN19" s="1825"/>
      <c r="AO19" s="1825"/>
      <c r="AP19" s="1825"/>
      <c r="AQ19" s="1825"/>
      <c r="AR19" s="1825"/>
      <c r="AS19" s="1825"/>
      <c r="AT19" s="1825"/>
      <c r="AU19" s="1825"/>
      <c r="AV19" s="1825"/>
      <c r="AW19" s="1825"/>
      <c r="AX19" s="1825"/>
      <c r="AY19" s="1825"/>
      <c r="AZ19" s="1825"/>
      <c r="BA19" s="1825"/>
      <c r="BB19" s="1825"/>
      <c r="BC19" s="1825"/>
      <c r="BD19" s="1825"/>
      <c r="BE19" s="1825"/>
      <c r="BF19" s="1825"/>
      <c r="BG19" s="1638"/>
    </row>
    <row customHeight="1" ht="12">
      <c r="A20" s="1169" t="s">
        <v>1019</v>
      </c>
      <c r="B20" s="1169"/>
      <c r="C20" s="1169"/>
      <c r="D20" s="1163"/>
      <c r="E20" s="1173"/>
      <c r="F20" s="2559"/>
      <c r="G20" s="1193"/>
      <c r="H20" s="1193"/>
      <c r="I20" s="2557" t="s">
        <v>1058</v>
      </c>
      <c r="J20" s="2557"/>
      <c r="K20" s="2557"/>
      <c r="L20" s="1176"/>
      <c r="M20" s="1176"/>
      <c r="N20" s="1177"/>
      <c r="O20" s="1177"/>
      <c r="P20" s="1177"/>
      <c r="Q20" s="1177"/>
      <c r="R20" s="1177"/>
      <c r="S20" s="1177"/>
      <c r="T20" s="1177"/>
      <c r="U20" s="1177"/>
      <c r="V20" s="1177"/>
      <c r="W20" s="1177"/>
      <c r="X20" s="1177"/>
      <c r="Y20" s="1177"/>
      <c r="Z20" s="1177"/>
      <c r="AA20" s="1177"/>
      <c r="AB20" s="1177"/>
      <c r="AC20" s="1177"/>
      <c r="AD20" s="1177"/>
      <c r="AE20" s="1177"/>
      <c r="AF20" s="1177"/>
      <c r="AG20" s="1176"/>
      <c r="AH20" s="1176"/>
      <c r="AI20" s="1177"/>
      <c r="AJ20" s="1176"/>
      <c r="AK20" s="1177"/>
      <c r="AL20" s="1988"/>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638"/>
    </row>
    <row customHeight="1" ht="0.75">
      <c r="A21" s="1169" t="s">
        <v>1019</v>
      </c>
      <c r="B21" s="1169"/>
      <c r="C21" s="1169"/>
      <c r="D21" s="1163"/>
      <c r="E21" s="1173"/>
      <c r="F21" s="2558">
        <v>2025</v>
      </c>
      <c r="G21" s="2537"/>
      <c r="H21" s="2562" t="s">
        <v>377</v>
      </c>
      <c r="I21" s="2563"/>
      <c r="J21" s="2564"/>
      <c r="K21" s="2564"/>
      <c r="L21" s="2556"/>
      <c r="M21" s="2290"/>
      <c r="N21" s="2036"/>
      <c r="O21" s="2035"/>
      <c r="P21" s="2036"/>
      <c r="Q21" s="2036"/>
      <c r="R21" s="2036"/>
      <c r="S21" s="2036"/>
      <c r="T21" s="2036"/>
      <c r="U21" s="2036"/>
      <c r="V21" s="2036"/>
      <c r="W21" s="2036"/>
      <c r="X21" s="2036"/>
      <c r="Y21" s="2036"/>
      <c r="Z21" s="2036"/>
      <c r="AA21" s="2036"/>
      <c r="AB21" s="2036"/>
      <c r="AC21" s="2036"/>
      <c r="AD21" s="2036"/>
      <c r="AE21" s="2036"/>
      <c r="AF21" s="2560"/>
      <c r="AG21" s="2556"/>
      <c r="AH21" s="2556"/>
      <c r="AI21" s="2560"/>
      <c r="AJ21" s="2556"/>
      <c r="AK21" s="2556"/>
      <c r="AL21" s="1988"/>
      <c r="AM21" s="1825"/>
      <c r="AN21" s="1825"/>
      <c r="AO21" s="1825"/>
      <c r="AP21" s="1825"/>
      <c r="AQ21" s="1825"/>
      <c r="AR21" s="1825"/>
      <c r="AS21" s="1825"/>
      <c r="AT21" s="1825"/>
      <c r="AU21" s="1825"/>
      <c r="AV21" s="1825"/>
      <c r="AW21" s="1825"/>
      <c r="AX21" s="1825"/>
      <c r="AY21" s="1825"/>
      <c r="AZ21" s="1825"/>
      <c r="BA21" s="1825"/>
      <c r="BB21" s="1825"/>
      <c r="BC21" s="1825"/>
      <c r="BD21" s="1825"/>
      <c r="BE21" s="1825"/>
      <c r="BF21" s="1825"/>
      <c r="BG21" s="1638"/>
    </row>
    <row customHeight="1" ht="0.75">
      <c r="A22" s="1169" t="s">
        <v>1019</v>
      </c>
      <c r="B22" s="1169"/>
      <c r="C22" s="1169"/>
      <c r="D22" s="1163"/>
      <c r="E22" s="1173"/>
      <c r="F22" s="2558"/>
      <c r="G22" s="2537"/>
      <c r="H22" s="2562"/>
      <c r="I22" s="2563"/>
      <c r="J22" s="2564"/>
      <c r="K22" s="2564"/>
      <c r="L22" s="2556"/>
      <c r="M22" s="2290"/>
      <c r="N22" s="2565"/>
      <c r="O22" s="2566"/>
      <c r="P22" s="2610"/>
      <c r="Q22" s="2561"/>
      <c r="R22" s="2561"/>
      <c r="S22" s="2561"/>
      <c r="T22" s="2561"/>
      <c r="U22" s="2561"/>
      <c r="V22" s="2561"/>
      <c r="W22" s="2561"/>
      <c r="X22" s="2561"/>
      <c r="Y22" s="2561"/>
      <c r="Z22" s="2037"/>
      <c r="AA22" s="2038"/>
      <c r="AB22" s="2038"/>
      <c r="AC22" s="2039"/>
      <c r="AD22" s="2039"/>
      <c r="AE22" s="2040"/>
      <c r="AF22" s="2560"/>
      <c r="AG22" s="2556"/>
      <c r="AH22" s="2556"/>
      <c r="AI22" s="2560"/>
      <c r="AJ22" s="2556"/>
      <c r="AK22" s="2556"/>
      <c r="AL22" s="1988"/>
      <c r="AM22" s="1825"/>
      <c r="AN22" s="1825"/>
      <c r="AO22" s="1825"/>
      <c r="AP22" s="1825"/>
      <c r="AQ22" s="1825"/>
      <c r="AR22" s="1825"/>
      <c r="AS22" s="1825"/>
      <c r="AT22" s="1825"/>
      <c r="AU22" s="1825"/>
      <c r="AV22" s="1825"/>
      <c r="AW22" s="1825"/>
      <c r="AX22" s="1825"/>
      <c r="AY22" s="1825"/>
      <c r="AZ22" s="1825"/>
      <c r="BA22" s="1825"/>
      <c r="BB22" s="1825"/>
      <c r="BC22" s="1825"/>
      <c r="BD22" s="1825"/>
      <c r="BE22" s="1825"/>
      <c r="BF22" s="1825"/>
      <c r="BG22" s="1638"/>
    </row>
    <row customHeight="1" ht="0.75">
      <c r="A23" s="1169" t="s">
        <v>1019</v>
      </c>
      <c r="B23" s="1169"/>
      <c r="C23" s="1169"/>
      <c r="D23" s="1163"/>
      <c r="E23" s="1173"/>
      <c r="F23" s="2558"/>
      <c r="G23" s="2537"/>
      <c r="H23" s="2562"/>
      <c r="I23" s="2563"/>
      <c r="J23" s="2564"/>
      <c r="K23" s="2564"/>
      <c r="L23" s="2556"/>
      <c r="M23" s="2290"/>
      <c r="N23" s="2565"/>
      <c r="O23" s="2566"/>
      <c r="P23" s="2611"/>
      <c r="Q23" s="2561"/>
      <c r="R23" s="2561"/>
      <c r="S23" s="2561"/>
      <c r="T23" s="2561"/>
      <c r="U23" s="2561"/>
      <c r="V23" s="2561"/>
      <c r="W23" s="2561"/>
      <c r="X23" s="2561"/>
      <c r="Y23" s="2561"/>
      <c r="Z23" s="2041"/>
      <c r="AA23" s="2042"/>
      <c r="AB23" s="2043"/>
      <c r="AC23" s="2044"/>
      <c r="AD23" s="2043"/>
      <c r="AE23" s="2044"/>
      <c r="AF23" s="2560"/>
      <c r="AG23" s="2556"/>
      <c r="AH23" s="2556"/>
      <c r="AI23" s="2560"/>
      <c r="AJ23" s="2556"/>
      <c r="AK23" s="2556"/>
      <c r="AL23" s="1988"/>
      <c r="AM23" s="1825"/>
      <c r="AN23" s="1825"/>
      <c r="AO23" s="1825"/>
      <c r="AP23" s="1825"/>
      <c r="AQ23" s="1825"/>
      <c r="AR23" s="1825"/>
      <c r="AS23" s="1825"/>
      <c r="AT23" s="1825"/>
      <c r="AU23" s="1825"/>
      <c r="AV23" s="1825"/>
      <c r="AW23" s="1825"/>
      <c r="AX23" s="1825"/>
      <c r="AY23" s="1825"/>
      <c r="AZ23" s="1825"/>
      <c r="BA23" s="1825"/>
      <c r="BB23" s="1825"/>
      <c r="BC23" s="1825"/>
      <c r="BD23" s="1825"/>
      <c r="BE23" s="1825"/>
      <c r="BF23" s="1825"/>
      <c r="BG23" s="1638"/>
    </row>
    <row customHeight="1" ht="0.75">
      <c r="A24" s="1169" t="s">
        <v>1019</v>
      </c>
      <c r="B24" s="1169"/>
      <c r="C24" s="1169"/>
      <c r="D24" s="1163"/>
      <c r="E24" s="1173"/>
      <c r="F24" s="2558"/>
      <c r="G24" s="2537"/>
      <c r="H24" s="2562"/>
      <c r="I24" s="2563"/>
      <c r="J24" s="2564"/>
      <c r="K24" s="2564"/>
      <c r="L24" s="2556"/>
      <c r="M24" s="2290"/>
      <c r="N24" s="2565"/>
      <c r="O24" s="2566"/>
      <c r="P24" s="2612"/>
      <c r="Q24" s="2561"/>
      <c r="R24" s="2561"/>
      <c r="S24" s="2561"/>
      <c r="T24" s="2561"/>
      <c r="U24" s="2561"/>
      <c r="V24" s="2561"/>
      <c r="W24" s="2561"/>
      <c r="X24" s="2561"/>
      <c r="Y24" s="2561"/>
      <c r="Z24" s="2037"/>
      <c r="AA24" s="2038"/>
      <c r="AB24" s="2045"/>
      <c r="AC24" s="2039"/>
      <c r="AD24" s="2039"/>
      <c r="AE24" s="2046"/>
      <c r="AF24" s="2560"/>
      <c r="AG24" s="2556"/>
      <c r="AH24" s="2556"/>
      <c r="AI24" s="2560"/>
      <c r="AJ24" s="2556"/>
      <c r="AK24" s="2556"/>
      <c r="AL24" s="1988"/>
      <c r="AM24" s="1825"/>
      <c r="AN24" s="1825"/>
      <c r="AO24" s="1825"/>
      <c r="AP24" s="1825"/>
      <c r="AQ24" s="1825"/>
      <c r="AR24" s="1825"/>
      <c r="AS24" s="1825"/>
      <c r="AT24" s="1825"/>
      <c r="AU24" s="1825"/>
      <c r="AV24" s="1825"/>
      <c r="AW24" s="1825"/>
      <c r="AX24" s="1825"/>
      <c r="AY24" s="1825"/>
      <c r="AZ24" s="1825"/>
      <c r="BA24" s="1825"/>
      <c r="BB24" s="1825"/>
      <c r="BC24" s="1825"/>
      <c r="BD24" s="1825"/>
      <c r="BE24" s="1825"/>
      <c r="BF24" s="1825"/>
      <c r="BG24" s="1638"/>
    </row>
    <row customHeight="1" ht="0.75">
      <c r="A25" s="1169" t="s">
        <v>1019</v>
      </c>
      <c r="B25" s="1169"/>
      <c r="C25" s="1169"/>
      <c r="D25" s="1163"/>
      <c r="E25" s="1173"/>
      <c r="F25" s="2558"/>
      <c r="G25" s="2537"/>
      <c r="H25" s="2562"/>
      <c r="I25" s="2563"/>
      <c r="J25" s="2564"/>
      <c r="K25" s="2564"/>
      <c r="L25" s="2556"/>
      <c r="M25" s="2290"/>
      <c r="N25" s="2038"/>
      <c r="O25" s="2038"/>
      <c r="P25" s="2045"/>
      <c r="Q25" s="2038"/>
      <c r="R25" s="2038"/>
      <c r="S25" s="2038"/>
      <c r="T25" s="2038"/>
      <c r="U25" s="2038"/>
      <c r="V25" s="2038"/>
      <c r="W25" s="2038"/>
      <c r="X25" s="2038"/>
      <c r="Y25" s="2038"/>
      <c r="Z25" s="2038"/>
      <c r="AA25" s="2038"/>
      <c r="AB25" s="2038"/>
      <c r="AC25" s="2038"/>
      <c r="AD25" s="2038"/>
      <c r="AE25" s="2047"/>
      <c r="AF25" s="2560"/>
      <c r="AG25" s="2556"/>
      <c r="AH25" s="2556"/>
      <c r="AI25" s="2560"/>
      <c r="AJ25" s="2556"/>
      <c r="AK25" s="2556"/>
      <c r="AL25" s="1988"/>
      <c r="AM25" s="1825"/>
      <c r="AN25" s="1825"/>
      <c r="AO25" s="1825"/>
      <c r="AP25" s="1825"/>
      <c r="AQ25" s="1825"/>
      <c r="AR25" s="1825"/>
      <c r="AS25" s="1825"/>
      <c r="AT25" s="1825"/>
      <c r="AU25" s="1825"/>
      <c r="AV25" s="1825"/>
      <c r="AW25" s="1825"/>
      <c r="AX25" s="1825"/>
      <c r="AY25" s="1825"/>
      <c r="AZ25" s="1825"/>
      <c r="BA25" s="1825"/>
      <c r="BB25" s="1825"/>
      <c r="BC25" s="1825"/>
      <c r="BD25" s="1825"/>
      <c r="BE25" s="1825"/>
      <c r="BF25" s="1825"/>
      <c r="BG25" s="1638"/>
    </row>
    <row customHeight="1" ht="11.25">
      <c r="A26" s="1169" t="s">
        <v>1019</v>
      </c>
      <c r="B26" s="1169"/>
      <c r="C26" s="1169"/>
      <c r="D26" s="1163"/>
      <c r="E26" s="1173"/>
      <c r="F26" s="1831"/>
      <c r="G26" s="686" t="s">
        <v>121</v>
      </c>
      <c r="H26" s="2537" t="s">
        <v>99</v>
      </c>
      <c r="I26" s="2538"/>
      <c r="J26" s="2507"/>
      <c r="K26" s="2539" t="s">
        <v>1059</v>
      </c>
      <c r="L26" s="2129" t="s">
        <v>19</v>
      </c>
      <c r="M26" s="2130"/>
      <c r="N26" s="1986"/>
      <c r="O26" s="1180" t="s">
        <v>377</v>
      </c>
      <c r="P26" s="1181"/>
      <c r="Q26" s="1181"/>
      <c r="R26" s="1181"/>
      <c r="S26" s="1181"/>
      <c r="T26" s="1181"/>
      <c r="U26" s="1181"/>
      <c r="V26" s="1181"/>
      <c r="W26" s="1181"/>
      <c r="X26" s="1181"/>
      <c r="Y26" s="1181"/>
      <c r="Z26" s="1181"/>
      <c r="AA26" s="1181"/>
      <c r="AB26" s="1181"/>
      <c r="AC26" s="1181"/>
      <c r="AD26" s="1181"/>
      <c r="AE26" s="1181"/>
      <c r="AF26" s="2528">
        <v>2025</v>
      </c>
      <c r="AG26" s="2529" t="s">
        <v>1060</v>
      </c>
      <c r="AH26" s="2529" t="s">
        <v>1061</v>
      </c>
      <c r="AI26" s="2528">
        <v>2025</v>
      </c>
      <c r="AJ26" s="2529" t="s">
        <v>1062</v>
      </c>
      <c r="AK26" s="2529" t="s">
        <v>1061</v>
      </c>
      <c r="AL26" s="1988"/>
      <c r="AM26" s="1825"/>
      <c r="AN26" s="1825"/>
      <c r="AO26" s="1825"/>
      <c r="AP26" s="1825"/>
      <c r="AQ26" s="1825"/>
      <c r="AR26" s="1825"/>
      <c r="AS26" s="1825"/>
      <c r="AT26" s="1825"/>
      <c r="AU26" s="1825"/>
      <c r="AV26" s="1825"/>
      <c r="AW26" s="1825"/>
      <c r="AX26" s="1825"/>
      <c r="AY26" s="1825"/>
      <c r="AZ26" s="1825"/>
      <c r="BA26" s="1825"/>
      <c r="BB26" s="1825"/>
      <c r="BC26" s="1825"/>
      <c r="BD26" s="1825"/>
      <c r="BE26" s="1825"/>
      <c r="BF26" s="1825"/>
      <c r="BG26" s="1638"/>
    </row>
    <row customHeight="1" ht="11.25">
      <c r="A27" s="1169" t="s">
        <v>1019</v>
      </c>
      <c r="B27" s="1169"/>
      <c r="C27" s="1169"/>
      <c r="D27" s="1163"/>
      <c r="E27" s="1173"/>
      <c r="F27" s="1831"/>
      <c r="G27" s="1832"/>
      <c r="H27" s="2537" t="s">
        <v>377</v>
      </c>
      <c r="I27" s="2538"/>
      <c r="J27" s="2507"/>
      <c r="K27" s="2539"/>
      <c r="L27" s="2129"/>
      <c r="M27" s="2130"/>
      <c r="N27" s="2530"/>
      <c r="O27" s="2531">
        <v>1</v>
      </c>
      <c r="P27" s="2532" t="s">
        <v>19</v>
      </c>
      <c r="Q27" s="2535" t="s">
        <v>22</v>
      </c>
      <c r="R27" s="2535" t="s">
        <v>22</v>
      </c>
      <c r="S27" s="2535" t="s">
        <v>22</v>
      </c>
      <c r="T27" s="2535" t="s">
        <v>22</v>
      </c>
      <c r="U27" s="2535" t="s">
        <v>22</v>
      </c>
      <c r="V27" s="2535" t="s">
        <v>22</v>
      </c>
      <c r="W27" s="2535" t="s">
        <v>22</v>
      </c>
      <c r="X27" s="2535" t="s">
        <v>22</v>
      </c>
      <c r="Y27" s="2535"/>
      <c r="Z27" s="1178"/>
      <c r="AA27" s="1179"/>
      <c r="AB27" s="1179"/>
      <c r="AC27" s="1183"/>
      <c r="AD27" s="1183"/>
      <c r="AE27" s="1184"/>
      <c r="AF27" s="2528"/>
      <c r="AG27" s="2529"/>
      <c r="AH27" s="2529"/>
      <c r="AI27" s="2528"/>
      <c r="AJ27" s="2529"/>
      <c r="AK27" s="2529"/>
      <c r="AL27" s="1988"/>
      <c r="AM27" s="1825"/>
      <c r="AN27" s="1825"/>
      <c r="AO27" s="1825"/>
      <c r="AP27" s="1825"/>
      <c r="AQ27" s="1825"/>
      <c r="AR27" s="1825"/>
      <c r="AS27" s="1825"/>
      <c r="AT27" s="1825"/>
      <c r="AU27" s="1825"/>
      <c r="AV27" s="1825"/>
      <c r="AW27" s="1825"/>
      <c r="AX27" s="1825"/>
      <c r="AY27" s="1825"/>
      <c r="AZ27" s="1825"/>
      <c r="BA27" s="1825"/>
      <c r="BB27" s="1825"/>
      <c r="BC27" s="1825"/>
      <c r="BD27" s="1825"/>
      <c r="BE27" s="1825"/>
      <c r="BF27" s="1825"/>
      <c r="BG27" s="1638"/>
    </row>
    <row customHeight="1" ht="11.25">
      <c r="A28" s="1169" t="s">
        <v>1019</v>
      </c>
      <c r="B28" s="1169"/>
      <c r="C28" s="1169"/>
      <c r="D28" s="1163"/>
      <c r="E28" s="1173"/>
      <c r="F28" s="1831"/>
      <c r="G28" s="1832"/>
      <c r="H28" s="2537" t="s">
        <v>377</v>
      </c>
      <c r="I28" s="2538"/>
      <c r="J28" s="2507"/>
      <c r="K28" s="2539"/>
      <c r="L28" s="2129"/>
      <c r="M28" s="2130"/>
      <c r="N28" s="2530"/>
      <c r="O28" s="2531"/>
      <c r="P28" s="2533"/>
      <c r="Q28" s="2535"/>
      <c r="R28" s="2535"/>
      <c r="S28" s="2536"/>
      <c r="T28" s="2535"/>
      <c r="U28" s="2535"/>
      <c r="V28" s="2535"/>
      <c r="W28" s="2535"/>
      <c r="X28" s="2535"/>
      <c r="Y28" s="2535"/>
      <c r="Z28" s="1830"/>
      <c r="AA28" s="1796">
        <v>1</v>
      </c>
      <c r="AB28" s="1182" t="s">
        <v>1063</v>
      </c>
      <c r="AC28" s="1172">
        <v>803.9</v>
      </c>
      <c r="AD28" s="1182" t="str">
        <f>AB28</f>
        <v>     Амортизационные отчисления за исключением переоценки основных средств и нематериальных активов</v>
      </c>
      <c r="AE28" s="1172">
        <v>497</v>
      </c>
      <c r="AF28" s="2528"/>
      <c r="AG28" s="2529"/>
      <c r="AH28" s="2529"/>
      <c r="AI28" s="2528"/>
      <c r="AJ28" s="2529"/>
      <c r="AK28" s="2529"/>
      <c r="AL28" s="1988"/>
      <c r="AM28" s="1825"/>
      <c r="AN28" s="1825"/>
      <c r="AO28" s="1825"/>
      <c r="AP28" s="1825"/>
      <c r="AQ28" s="1825"/>
      <c r="AR28" s="1825"/>
      <c r="AS28" s="1825"/>
      <c r="AT28" s="1825"/>
      <c r="AU28" s="1825"/>
      <c r="AV28" s="1825"/>
      <c r="AW28" s="1825"/>
      <c r="AX28" s="1825"/>
      <c r="AY28" s="1825"/>
      <c r="AZ28" s="1825"/>
      <c r="BA28" s="1825"/>
      <c r="BB28" s="1825"/>
      <c r="BC28" s="1825"/>
      <c r="BD28" s="1825"/>
      <c r="BE28" s="1825"/>
      <c r="BF28" s="1825"/>
      <c r="BG28" s="1638"/>
    </row>
    <row customHeight="1" ht="11.25">
      <c r="A29" s="1169" t="s">
        <v>1019</v>
      </c>
      <c r="B29" s="1169"/>
      <c r="C29" s="1169"/>
      <c r="D29" s="1163"/>
      <c r="E29" s="1173"/>
      <c r="F29" s="1831"/>
      <c r="G29" s="1832"/>
      <c r="H29" s="2537" t="s">
        <v>377</v>
      </c>
      <c r="I29" s="2538"/>
      <c r="J29" s="2507"/>
      <c r="K29" s="2539"/>
      <c r="L29" s="2129"/>
      <c r="M29" s="2130"/>
      <c r="N29" s="2530"/>
      <c r="O29" s="2531"/>
      <c r="P29" s="2534"/>
      <c r="Q29" s="2535"/>
      <c r="R29" s="2535"/>
      <c r="S29" s="2536"/>
      <c r="T29" s="2535"/>
      <c r="U29" s="2535"/>
      <c r="V29" s="2535"/>
      <c r="W29" s="2535"/>
      <c r="X29" s="2535"/>
      <c r="Y29" s="2535"/>
      <c r="Z29" s="1178"/>
      <c r="AA29" s="1179"/>
      <c r="AB29" s="1244" t="s">
        <v>1064</v>
      </c>
      <c r="AC29" s="1183"/>
      <c r="AD29" s="1183"/>
      <c r="AE29" s="1185"/>
      <c r="AF29" s="2528"/>
      <c r="AG29" s="2529"/>
      <c r="AH29" s="2529"/>
      <c r="AI29" s="2528"/>
      <c r="AJ29" s="2529"/>
      <c r="AK29" s="2529"/>
      <c r="AL29" s="1988"/>
      <c r="AM29" s="1825"/>
      <c r="AN29" s="1825"/>
      <c r="AO29" s="1825"/>
      <c r="AP29" s="1825"/>
      <c r="AQ29" s="1825"/>
      <c r="AR29" s="1825"/>
      <c r="AS29" s="1825"/>
      <c r="AT29" s="1825"/>
      <c r="AU29" s="1825"/>
      <c r="AV29" s="1825"/>
      <c r="AW29" s="1825"/>
      <c r="AX29" s="1825"/>
      <c r="AY29" s="1825"/>
      <c r="AZ29" s="1825"/>
      <c r="BA29" s="1825"/>
      <c r="BB29" s="1825"/>
      <c r="BC29" s="1825"/>
      <c r="BD29" s="1825"/>
      <c r="BE29" s="1825"/>
      <c r="BF29" s="1825"/>
      <c r="BG29" s="1638"/>
    </row>
    <row customHeight="1" ht="11.25">
      <c r="A30" s="1169" t="s">
        <v>1019</v>
      </c>
      <c r="B30" s="1169"/>
      <c r="C30" s="1169"/>
      <c r="D30" s="1163"/>
      <c r="E30" s="1173"/>
      <c r="F30" s="1831"/>
      <c r="G30" s="1832"/>
      <c r="H30" s="2537" t="s">
        <v>377</v>
      </c>
      <c r="I30" s="2538"/>
      <c r="J30" s="2507"/>
      <c r="K30" s="2539"/>
      <c r="L30" s="2129"/>
      <c r="M30" s="2130"/>
      <c r="N30" s="1178"/>
      <c r="O30" s="1179"/>
      <c r="P30" s="1171" t="s">
        <v>1065</v>
      </c>
      <c r="Q30" s="1179"/>
      <c r="R30" s="1179"/>
      <c r="S30" s="1179"/>
      <c r="T30" s="1179"/>
      <c r="U30" s="1179"/>
      <c r="V30" s="1179"/>
      <c r="W30" s="1179"/>
      <c r="X30" s="1179"/>
      <c r="Y30" s="1179"/>
      <c r="Z30" s="1179"/>
      <c r="AA30" s="1179"/>
      <c r="AB30" s="1179"/>
      <c r="AC30" s="1179"/>
      <c r="AD30" s="1179"/>
      <c r="AE30" s="1186"/>
      <c r="AF30" s="2528"/>
      <c r="AG30" s="2529"/>
      <c r="AH30" s="2529"/>
      <c r="AI30" s="2528"/>
      <c r="AJ30" s="2529"/>
      <c r="AK30" s="2529"/>
      <c r="AL30" s="1988"/>
      <c r="AM30" s="1825"/>
      <c r="AN30" s="1825"/>
      <c r="AO30" s="1825"/>
      <c r="AP30" s="1825"/>
      <c r="AQ30" s="1825"/>
      <c r="AR30" s="1825"/>
      <c r="AS30" s="1825"/>
      <c r="AT30" s="1825"/>
      <c r="AU30" s="1825"/>
      <c r="AV30" s="1825"/>
      <c r="AW30" s="1825"/>
      <c r="AX30" s="1825"/>
      <c r="AY30" s="1825"/>
      <c r="AZ30" s="1825"/>
      <c r="BA30" s="1825"/>
      <c r="BB30" s="1825"/>
      <c r="BC30" s="1825"/>
      <c r="BD30" s="1825"/>
      <c r="BE30" s="1825"/>
      <c r="BF30" s="1825"/>
      <c r="BG30" s="1638"/>
    </row>
    <row customHeight="1" ht="12">
      <c r="A31" s="1169" t="s">
        <v>1019</v>
      </c>
      <c r="B31" s="1169"/>
      <c r="C31" s="1169"/>
      <c r="D31" s="1163"/>
      <c r="E31" s="1173"/>
      <c r="F31" s="2559"/>
      <c r="G31" s="1193"/>
      <c r="H31" s="1193"/>
      <c r="I31" s="2557" t="s">
        <v>1058</v>
      </c>
      <c r="J31" s="2557"/>
      <c r="K31" s="2557"/>
      <c r="L31" s="1176"/>
      <c r="M31" s="1176"/>
      <c r="N31" s="1177"/>
      <c r="O31" s="1177"/>
      <c r="P31" s="1177"/>
      <c r="Q31" s="1177"/>
      <c r="R31" s="1177"/>
      <c r="S31" s="1177"/>
      <c r="T31" s="1177"/>
      <c r="U31" s="1177"/>
      <c r="V31" s="1177"/>
      <c r="W31" s="1177"/>
      <c r="X31" s="1177"/>
      <c r="Y31" s="1177"/>
      <c r="Z31" s="1177"/>
      <c r="AA31" s="1177"/>
      <c r="AB31" s="1177"/>
      <c r="AC31" s="1177"/>
      <c r="AD31" s="1177"/>
      <c r="AE31" s="1177"/>
      <c r="AF31" s="1177"/>
      <c r="AG31" s="1176"/>
      <c r="AH31" s="1176"/>
      <c r="AI31" s="1177"/>
      <c r="AJ31" s="1176"/>
      <c r="AK31" s="1177"/>
      <c r="AL31" s="1988"/>
      <c r="AM31" s="1825"/>
      <c r="AN31" s="1825"/>
      <c r="AO31" s="1825"/>
      <c r="AP31" s="1825"/>
      <c r="AQ31" s="1825"/>
      <c r="AR31" s="1825"/>
      <c r="AS31" s="1825"/>
      <c r="AT31" s="1825"/>
      <c r="AU31" s="1825"/>
      <c r="AV31" s="1825"/>
      <c r="AW31" s="1825"/>
      <c r="AX31" s="1825"/>
      <c r="AY31" s="1825"/>
      <c r="AZ31" s="1825"/>
      <c r="BA31" s="1825"/>
      <c r="BB31" s="1825"/>
      <c r="BC31" s="1825"/>
      <c r="BD31" s="1825"/>
      <c r="BE31" s="1825"/>
      <c r="BF31" s="1825"/>
      <c r="BG31" s="1638"/>
    </row>
    <row customHeight="1" ht="0.75">
      <c r="A32" s="1169" t="s">
        <v>1019</v>
      </c>
      <c r="B32" s="1169"/>
      <c r="C32" s="1169"/>
      <c r="D32" s="1163"/>
      <c r="E32" s="1173"/>
      <c r="F32" s="2558">
        <v>2026</v>
      </c>
      <c r="G32" s="2537"/>
      <c r="H32" s="2562" t="s">
        <v>377</v>
      </c>
      <c r="I32" s="2563"/>
      <c r="J32" s="2564"/>
      <c r="K32" s="2564"/>
      <c r="L32" s="2556"/>
      <c r="M32" s="2290"/>
      <c r="N32" s="2036"/>
      <c r="O32" s="2035"/>
      <c r="P32" s="2036"/>
      <c r="Q32" s="2036"/>
      <c r="R32" s="2036"/>
      <c r="S32" s="2036"/>
      <c r="T32" s="2036"/>
      <c r="U32" s="2036"/>
      <c r="V32" s="2036"/>
      <c r="W32" s="2036"/>
      <c r="X32" s="2036"/>
      <c r="Y32" s="2036"/>
      <c r="Z32" s="2036"/>
      <c r="AA32" s="2036"/>
      <c r="AB32" s="2036"/>
      <c r="AC32" s="2036"/>
      <c r="AD32" s="2036"/>
      <c r="AE32" s="2036"/>
      <c r="AF32" s="2560"/>
      <c r="AG32" s="2556"/>
      <c r="AH32" s="2556"/>
      <c r="AI32" s="2560"/>
      <c r="AJ32" s="2556"/>
      <c r="AK32" s="2556"/>
      <c r="AL32" s="1988"/>
      <c r="AM32" s="1825"/>
      <c r="AN32" s="1825"/>
      <c r="AO32" s="1825"/>
      <c r="AP32" s="1825"/>
      <c r="AQ32" s="1825"/>
      <c r="AR32" s="1825"/>
      <c r="AS32" s="1825"/>
      <c r="AT32" s="1825"/>
      <c r="AU32" s="1825"/>
      <c r="AV32" s="1825"/>
      <c r="AW32" s="1825"/>
      <c r="AX32" s="1825"/>
      <c r="AY32" s="1825"/>
      <c r="AZ32" s="1825"/>
      <c r="BA32" s="1825"/>
      <c r="BB32" s="1825"/>
      <c r="BC32" s="1825"/>
      <c r="BD32" s="1825"/>
      <c r="BE32" s="1825"/>
      <c r="BF32" s="1825"/>
      <c r="BG32" s="1638"/>
    </row>
    <row customHeight="1" ht="0.75">
      <c r="A33" s="1169" t="s">
        <v>1019</v>
      </c>
      <c r="B33" s="1169"/>
      <c r="C33" s="1169"/>
      <c r="D33" s="1163"/>
      <c r="E33" s="1173"/>
      <c r="F33" s="2558"/>
      <c r="G33" s="2537"/>
      <c r="H33" s="2562"/>
      <c r="I33" s="2563"/>
      <c r="J33" s="2564"/>
      <c r="K33" s="2564"/>
      <c r="L33" s="2556"/>
      <c r="M33" s="2290"/>
      <c r="N33" s="2565"/>
      <c r="O33" s="2566"/>
      <c r="P33" s="2610"/>
      <c r="Q33" s="2561"/>
      <c r="R33" s="2561"/>
      <c r="S33" s="2561"/>
      <c r="T33" s="2561"/>
      <c r="U33" s="2561"/>
      <c r="V33" s="2561"/>
      <c r="W33" s="2561"/>
      <c r="X33" s="2561"/>
      <c r="Y33" s="2561"/>
      <c r="Z33" s="2037"/>
      <c r="AA33" s="2038"/>
      <c r="AB33" s="2038"/>
      <c r="AC33" s="2039"/>
      <c r="AD33" s="2039"/>
      <c r="AE33" s="2040"/>
      <c r="AF33" s="2560"/>
      <c r="AG33" s="2556"/>
      <c r="AH33" s="2556"/>
      <c r="AI33" s="2560"/>
      <c r="AJ33" s="2556"/>
      <c r="AK33" s="2556"/>
      <c r="AL33" s="1988"/>
      <c r="AM33" s="1825"/>
      <c r="AN33" s="1825"/>
      <c r="AO33" s="1825"/>
      <c r="AP33" s="1825"/>
      <c r="AQ33" s="1825"/>
      <c r="AR33" s="1825"/>
      <c r="AS33" s="1825"/>
      <c r="AT33" s="1825"/>
      <c r="AU33" s="1825"/>
      <c r="AV33" s="1825"/>
      <c r="AW33" s="1825"/>
      <c r="AX33" s="1825"/>
      <c r="AY33" s="1825"/>
      <c r="AZ33" s="1825"/>
      <c r="BA33" s="1825"/>
      <c r="BB33" s="1825"/>
      <c r="BC33" s="1825"/>
      <c r="BD33" s="1825"/>
      <c r="BE33" s="1825"/>
      <c r="BF33" s="1825"/>
      <c r="BG33" s="1638"/>
    </row>
    <row customHeight="1" ht="0.75">
      <c r="A34" s="1169" t="s">
        <v>1019</v>
      </c>
      <c r="B34" s="1169"/>
      <c r="C34" s="1169"/>
      <c r="D34" s="1163"/>
      <c r="E34" s="1173"/>
      <c r="F34" s="2558"/>
      <c r="G34" s="2537"/>
      <c r="H34" s="2562"/>
      <c r="I34" s="2563"/>
      <c r="J34" s="2564"/>
      <c r="K34" s="2564"/>
      <c r="L34" s="2556"/>
      <c r="M34" s="2290"/>
      <c r="N34" s="2565"/>
      <c r="O34" s="2566"/>
      <c r="P34" s="2611"/>
      <c r="Q34" s="2561"/>
      <c r="R34" s="2561"/>
      <c r="S34" s="2561"/>
      <c r="T34" s="2561"/>
      <c r="U34" s="2561"/>
      <c r="V34" s="2561"/>
      <c r="W34" s="2561"/>
      <c r="X34" s="2561"/>
      <c r="Y34" s="2561"/>
      <c r="Z34" s="2041"/>
      <c r="AA34" s="2042"/>
      <c r="AB34" s="2043"/>
      <c r="AC34" s="2044"/>
      <c r="AD34" s="2043"/>
      <c r="AE34" s="2044"/>
      <c r="AF34" s="2560"/>
      <c r="AG34" s="2556"/>
      <c r="AH34" s="2556"/>
      <c r="AI34" s="2560"/>
      <c r="AJ34" s="2556"/>
      <c r="AK34" s="2556"/>
      <c r="AL34" s="1988"/>
      <c r="AM34" s="1825"/>
      <c r="AN34" s="1825"/>
      <c r="AO34" s="1825"/>
      <c r="AP34" s="1825"/>
      <c r="AQ34" s="1825"/>
      <c r="AR34" s="1825"/>
      <c r="AS34" s="1825"/>
      <c r="AT34" s="1825"/>
      <c r="AU34" s="1825"/>
      <c r="AV34" s="1825"/>
      <c r="AW34" s="1825"/>
      <c r="AX34" s="1825"/>
      <c r="AY34" s="1825"/>
      <c r="AZ34" s="1825"/>
      <c r="BA34" s="1825"/>
      <c r="BB34" s="1825"/>
      <c r="BC34" s="1825"/>
      <c r="BD34" s="1825"/>
      <c r="BE34" s="1825"/>
      <c r="BF34" s="1825"/>
      <c r="BG34" s="1638"/>
    </row>
    <row customHeight="1" ht="0.75">
      <c r="A35" s="1169" t="s">
        <v>1019</v>
      </c>
      <c r="B35" s="1169"/>
      <c r="C35" s="1169"/>
      <c r="D35" s="1163"/>
      <c r="E35" s="1173"/>
      <c r="F35" s="2558"/>
      <c r="G35" s="2537"/>
      <c r="H35" s="2562"/>
      <c r="I35" s="2563"/>
      <c r="J35" s="2564"/>
      <c r="K35" s="2564"/>
      <c r="L35" s="2556"/>
      <c r="M35" s="2290"/>
      <c r="N35" s="2565"/>
      <c r="O35" s="2566"/>
      <c r="P35" s="2612"/>
      <c r="Q35" s="2561"/>
      <c r="R35" s="2561"/>
      <c r="S35" s="2561"/>
      <c r="T35" s="2561"/>
      <c r="U35" s="2561"/>
      <c r="V35" s="2561"/>
      <c r="W35" s="2561"/>
      <c r="X35" s="2561"/>
      <c r="Y35" s="2561"/>
      <c r="Z35" s="2037"/>
      <c r="AA35" s="2038"/>
      <c r="AB35" s="2045"/>
      <c r="AC35" s="2039"/>
      <c r="AD35" s="2039"/>
      <c r="AE35" s="2046"/>
      <c r="AF35" s="2560"/>
      <c r="AG35" s="2556"/>
      <c r="AH35" s="2556"/>
      <c r="AI35" s="2560"/>
      <c r="AJ35" s="2556"/>
      <c r="AK35" s="2556"/>
      <c r="AL35" s="1988"/>
      <c r="AM35" s="1825"/>
      <c r="AN35" s="1825"/>
      <c r="AO35" s="1825"/>
      <c r="AP35" s="1825"/>
      <c r="AQ35" s="1825"/>
      <c r="AR35" s="1825"/>
      <c r="AS35" s="1825"/>
      <c r="AT35" s="1825"/>
      <c r="AU35" s="1825"/>
      <c r="AV35" s="1825"/>
      <c r="AW35" s="1825"/>
      <c r="AX35" s="1825"/>
      <c r="AY35" s="1825"/>
      <c r="AZ35" s="1825"/>
      <c r="BA35" s="1825"/>
      <c r="BB35" s="1825"/>
      <c r="BC35" s="1825"/>
      <c r="BD35" s="1825"/>
      <c r="BE35" s="1825"/>
      <c r="BF35" s="1825"/>
      <c r="BG35" s="1638"/>
    </row>
    <row customHeight="1" ht="0.75">
      <c r="A36" s="1169" t="s">
        <v>1019</v>
      </c>
      <c r="B36" s="1169"/>
      <c r="C36" s="1169"/>
      <c r="D36" s="1163"/>
      <c r="E36" s="1173"/>
      <c r="F36" s="2558"/>
      <c r="G36" s="2537"/>
      <c r="H36" s="2562"/>
      <c r="I36" s="2563"/>
      <c r="J36" s="2564"/>
      <c r="K36" s="2564"/>
      <c r="L36" s="2556"/>
      <c r="M36" s="2290"/>
      <c r="N36" s="2038"/>
      <c r="O36" s="2038"/>
      <c r="P36" s="2045"/>
      <c r="Q36" s="2038"/>
      <c r="R36" s="2038"/>
      <c r="S36" s="2038"/>
      <c r="T36" s="2038"/>
      <c r="U36" s="2038"/>
      <c r="V36" s="2038"/>
      <c r="W36" s="2038"/>
      <c r="X36" s="2038"/>
      <c r="Y36" s="2038"/>
      <c r="Z36" s="2038"/>
      <c r="AA36" s="2038"/>
      <c r="AB36" s="2038"/>
      <c r="AC36" s="2038"/>
      <c r="AD36" s="2038"/>
      <c r="AE36" s="2047"/>
      <c r="AF36" s="2560"/>
      <c r="AG36" s="2556"/>
      <c r="AH36" s="2556"/>
      <c r="AI36" s="2560"/>
      <c r="AJ36" s="2556"/>
      <c r="AK36" s="2556"/>
      <c r="AL36" s="1988"/>
      <c r="AM36" s="1825"/>
      <c r="AN36" s="1825"/>
      <c r="AO36" s="1825"/>
      <c r="AP36" s="1825"/>
      <c r="AQ36" s="1825"/>
      <c r="AR36" s="1825"/>
      <c r="AS36" s="1825"/>
      <c r="AT36" s="1825"/>
      <c r="AU36" s="1825"/>
      <c r="AV36" s="1825"/>
      <c r="AW36" s="1825"/>
      <c r="AX36" s="1825"/>
      <c r="AY36" s="1825"/>
      <c r="AZ36" s="1825"/>
      <c r="BA36" s="1825"/>
      <c r="BB36" s="1825"/>
      <c r="BC36" s="1825"/>
      <c r="BD36" s="1825"/>
      <c r="BE36" s="1825"/>
      <c r="BF36" s="1825"/>
      <c r="BG36" s="1638"/>
    </row>
    <row customHeight="1" ht="12">
      <c r="A37" s="1169" t="s">
        <v>1019</v>
      </c>
      <c r="B37" s="1169"/>
      <c r="C37" s="1169"/>
      <c r="D37" s="1163"/>
      <c r="E37" s="1173"/>
      <c r="F37" s="2559"/>
      <c r="G37" s="1193"/>
      <c r="H37" s="1193"/>
      <c r="I37" s="2557" t="s">
        <v>1058</v>
      </c>
      <c r="J37" s="2557"/>
      <c r="K37" s="2557"/>
      <c r="L37" s="1176"/>
      <c r="M37" s="1176"/>
      <c r="N37" s="1177"/>
      <c r="O37" s="1177"/>
      <c r="P37" s="1177"/>
      <c r="Q37" s="1177"/>
      <c r="R37" s="1177"/>
      <c r="S37" s="1177"/>
      <c r="T37" s="1177"/>
      <c r="U37" s="1177"/>
      <c r="V37" s="1177"/>
      <c r="W37" s="1177"/>
      <c r="X37" s="1177"/>
      <c r="Y37" s="1177"/>
      <c r="Z37" s="1177"/>
      <c r="AA37" s="1177"/>
      <c r="AB37" s="1177"/>
      <c r="AC37" s="1177"/>
      <c r="AD37" s="1177"/>
      <c r="AE37" s="1177"/>
      <c r="AF37" s="1177"/>
      <c r="AG37" s="1176"/>
      <c r="AH37" s="1176"/>
      <c r="AI37" s="1177"/>
      <c r="AJ37" s="1176"/>
      <c r="AK37" s="1177"/>
      <c r="AL37" s="1988"/>
      <c r="AM37" s="1825"/>
      <c r="AN37" s="1825"/>
      <c r="AO37" s="1825"/>
      <c r="AP37" s="1825"/>
      <c r="AQ37" s="1825"/>
      <c r="AR37" s="1825"/>
      <c r="AS37" s="1825"/>
      <c r="AT37" s="1825"/>
      <c r="AU37" s="1825"/>
      <c r="AV37" s="1825"/>
      <c r="AW37" s="1825"/>
      <c r="AX37" s="1825"/>
      <c r="AY37" s="1825"/>
      <c r="AZ37" s="1825"/>
      <c r="BA37" s="1825"/>
      <c r="BB37" s="1825"/>
      <c r="BC37" s="1825"/>
      <c r="BD37" s="1825"/>
      <c r="BE37" s="1825"/>
      <c r="BF37" s="1825"/>
      <c r="BG37" s="1638"/>
    </row>
    <row customHeight="1" ht="0.75">
      <c r="A38" s="1169" t="s">
        <v>1019</v>
      </c>
      <c r="B38" s="1169"/>
      <c r="C38" s="1169"/>
      <c r="D38" s="1163"/>
      <c r="E38" s="1173"/>
      <c r="F38" s="2558">
        <v>2027</v>
      </c>
      <c r="G38" s="2537"/>
      <c r="H38" s="2562" t="s">
        <v>377</v>
      </c>
      <c r="I38" s="2563"/>
      <c r="J38" s="2564"/>
      <c r="K38" s="2564"/>
      <c r="L38" s="2556"/>
      <c r="M38" s="2290"/>
      <c r="N38" s="2036"/>
      <c r="O38" s="2035"/>
      <c r="P38" s="2036"/>
      <c r="Q38" s="2036"/>
      <c r="R38" s="2036"/>
      <c r="S38" s="2036"/>
      <c r="T38" s="2036"/>
      <c r="U38" s="2036"/>
      <c r="V38" s="2036"/>
      <c r="W38" s="2036"/>
      <c r="X38" s="2036"/>
      <c r="Y38" s="2036"/>
      <c r="Z38" s="2036"/>
      <c r="AA38" s="2036"/>
      <c r="AB38" s="2036"/>
      <c r="AC38" s="2036"/>
      <c r="AD38" s="2036"/>
      <c r="AE38" s="2036"/>
      <c r="AF38" s="2560"/>
      <c r="AG38" s="2556"/>
      <c r="AH38" s="2556"/>
      <c r="AI38" s="2560"/>
      <c r="AJ38" s="2556"/>
      <c r="AK38" s="2556"/>
      <c r="AL38" s="1988"/>
      <c r="AM38" s="1825"/>
      <c r="AN38" s="1825"/>
      <c r="AO38" s="1825"/>
      <c r="AP38" s="1825"/>
      <c r="AQ38" s="1825"/>
      <c r="AR38" s="1825"/>
      <c r="AS38" s="1825"/>
      <c r="AT38" s="1825"/>
      <c r="AU38" s="1825"/>
      <c r="AV38" s="1825"/>
      <c r="AW38" s="1825"/>
      <c r="AX38" s="1825"/>
      <c r="AY38" s="1825"/>
      <c r="AZ38" s="1825"/>
      <c r="BA38" s="1825"/>
      <c r="BB38" s="1825"/>
      <c r="BC38" s="1825"/>
      <c r="BD38" s="1825"/>
      <c r="BE38" s="1825"/>
      <c r="BF38" s="1825"/>
      <c r="BG38" s="1638"/>
    </row>
    <row customHeight="1" ht="0.75">
      <c r="A39" s="1169" t="s">
        <v>1019</v>
      </c>
      <c r="B39" s="1169"/>
      <c r="C39" s="1169"/>
      <c r="D39" s="1163"/>
      <c r="E39" s="1173"/>
      <c r="F39" s="2558"/>
      <c r="G39" s="2537"/>
      <c r="H39" s="2562"/>
      <c r="I39" s="2563"/>
      <c r="J39" s="2564"/>
      <c r="K39" s="2564"/>
      <c r="L39" s="2556"/>
      <c r="M39" s="2290"/>
      <c r="N39" s="2565"/>
      <c r="O39" s="2566"/>
      <c r="P39" s="2610"/>
      <c r="Q39" s="2561"/>
      <c r="R39" s="2561"/>
      <c r="S39" s="2561"/>
      <c r="T39" s="2561"/>
      <c r="U39" s="2561"/>
      <c r="V39" s="2561"/>
      <c r="W39" s="2561"/>
      <c r="X39" s="2561"/>
      <c r="Y39" s="2561"/>
      <c r="Z39" s="2037"/>
      <c r="AA39" s="2038"/>
      <c r="AB39" s="2038"/>
      <c r="AC39" s="2039"/>
      <c r="AD39" s="2039"/>
      <c r="AE39" s="2040"/>
      <c r="AF39" s="2560"/>
      <c r="AG39" s="2556"/>
      <c r="AH39" s="2556"/>
      <c r="AI39" s="2560"/>
      <c r="AJ39" s="2556"/>
      <c r="AK39" s="2556"/>
      <c r="AL39" s="1988"/>
      <c r="AM39" s="1825"/>
      <c r="AN39" s="1825"/>
      <c r="AO39" s="1825"/>
      <c r="AP39" s="1825"/>
      <c r="AQ39" s="1825"/>
      <c r="AR39" s="1825"/>
      <c r="AS39" s="1825"/>
      <c r="AT39" s="1825"/>
      <c r="AU39" s="1825"/>
      <c r="AV39" s="1825"/>
      <c r="AW39" s="1825"/>
      <c r="AX39" s="1825"/>
      <c r="AY39" s="1825"/>
      <c r="AZ39" s="1825"/>
      <c r="BA39" s="1825"/>
      <c r="BB39" s="1825"/>
      <c r="BC39" s="1825"/>
      <c r="BD39" s="1825"/>
      <c r="BE39" s="1825"/>
      <c r="BF39" s="1825"/>
      <c r="BG39" s="1638"/>
    </row>
    <row customHeight="1" ht="0.75">
      <c r="A40" s="1169" t="s">
        <v>1019</v>
      </c>
      <c r="B40" s="1169"/>
      <c r="C40" s="1169"/>
      <c r="D40" s="1163"/>
      <c r="E40" s="1173"/>
      <c r="F40" s="2558"/>
      <c r="G40" s="2537"/>
      <c r="H40" s="2562"/>
      <c r="I40" s="2563"/>
      <c r="J40" s="2564"/>
      <c r="K40" s="2564"/>
      <c r="L40" s="2556"/>
      <c r="M40" s="2290"/>
      <c r="N40" s="2565"/>
      <c r="O40" s="2566"/>
      <c r="P40" s="2611"/>
      <c r="Q40" s="2561"/>
      <c r="R40" s="2561"/>
      <c r="S40" s="2561"/>
      <c r="T40" s="2561"/>
      <c r="U40" s="2561"/>
      <c r="V40" s="2561"/>
      <c r="W40" s="2561"/>
      <c r="X40" s="2561"/>
      <c r="Y40" s="2561"/>
      <c r="Z40" s="2041"/>
      <c r="AA40" s="2042"/>
      <c r="AB40" s="2043"/>
      <c r="AC40" s="2044"/>
      <c r="AD40" s="2043"/>
      <c r="AE40" s="2044"/>
      <c r="AF40" s="2560"/>
      <c r="AG40" s="2556"/>
      <c r="AH40" s="2556"/>
      <c r="AI40" s="2560"/>
      <c r="AJ40" s="2556"/>
      <c r="AK40" s="2556"/>
      <c r="AL40" s="1988"/>
      <c r="AM40" s="1825"/>
      <c r="AN40" s="1825"/>
      <c r="AO40" s="1825"/>
      <c r="AP40" s="1825"/>
      <c r="AQ40" s="1825"/>
      <c r="AR40" s="1825"/>
      <c r="AS40" s="1825"/>
      <c r="AT40" s="1825"/>
      <c r="AU40" s="1825"/>
      <c r="AV40" s="1825"/>
      <c r="AW40" s="1825"/>
      <c r="AX40" s="1825"/>
      <c r="AY40" s="1825"/>
      <c r="AZ40" s="1825"/>
      <c r="BA40" s="1825"/>
      <c r="BB40" s="1825"/>
      <c r="BC40" s="1825"/>
      <c r="BD40" s="1825"/>
      <c r="BE40" s="1825"/>
      <c r="BF40" s="1825"/>
      <c r="BG40" s="1638"/>
    </row>
    <row customHeight="1" ht="0.75">
      <c r="A41" s="1169" t="s">
        <v>1019</v>
      </c>
      <c r="B41" s="1169"/>
      <c r="C41" s="1169"/>
      <c r="D41" s="1163"/>
      <c r="E41" s="1173"/>
      <c r="F41" s="2558"/>
      <c r="G41" s="2537"/>
      <c r="H41" s="2562"/>
      <c r="I41" s="2563"/>
      <c r="J41" s="2564"/>
      <c r="K41" s="2564"/>
      <c r="L41" s="2556"/>
      <c r="M41" s="2290"/>
      <c r="N41" s="2565"/>
      <c r="O41" s="2566"/>
      <c r="P41" s="2612"/>
      <c r="Q41" s="2561"/>
      <c r="R41" s="2561"/>
      <c r="S41" s="2561"/>
      <c r="T41" s="2561"/>
      <c r="U41" s="2561"/>
      <c r="V41" s="2561"/>
      <c r="W41" s="2561"/>
      <c r="X41" s="2561"/>
      <c r="Y41" s="2561"/>
      <c r="Z41" s="2037"/>
      <c r="AA41" s="2038"/>
      <c r="AB41" s="2045"/>
      <c r="AC41" s="2039"/>
      <c r="AD41" s="2039"/>
      <c r="AE41" s="2046"/>
      <c r="AF41" s="2560"/>
      <c r="AG41" s="2556"/>
      <c r="AH41" s="2556"/>
      <c r="AI41" s="2560"/>
      <c r="AJ41" s="2556"/>
      <c r="AK41" s="2556"/>
      <c r="AL41" s="1988"/>
      <c r="AM41" s="1825"/>
      <c r="AN41" s="1825"/>
      <c r="AO41" s="1825"/>
      <c r="AP41" s="1825"/>
      <c r="AQ41" s="1825"/>
      <c r="AR41" s="1825"/>
      <c r="AS41" s="1825"/>
      <c r="AT41" s="1825"/>
      <c r="AU41" s="1825"/>
      <c r="AV41" s="1825"/>
      <c r="AW41" s="1825"/>
      <c r="AX41" s="1825"/>
      <c r="AY41" s="1825"/>
      <c r="AZ41" s="1825"/>
      <c r="BA41" s="1825"/>
      <c r="BB41" s="1825"/>
      <c r="BC41" s="1825"/>
      <c r="BD41" s="1825"/>
      <c r="BE41" s="1825"/>
      <c r="BF41" s="1825"/>
      <c r="BG41" s="1638"/>
    </row>
    <row customHeight="1" ht="0.75">
      <c r="A42" s="1169" t="s">
        <v>1019</v>
      </c>
      <c r="B42" s="1169"/>
      <c r="C42" s="1169"/>
      <c r="D42" s="1163"/>
      <c r="E42" s="1173"/>
      <c r="F42" s="2558"/>
      <c r="G42" s="2537"/>
      <c r="H42" s="2562"/>
      <c r="I42" s="2563"/>
      <c r="J42" s="2564"/>
      <c r="K42" s="2564"/>
      <c r="L42" s="2556"/>
      <c r="M42" s="2290"/>
      <c r="N42" s="2038"/>
      <c r="O42" s="2038"/>
      <c r="P42" s="2045"/>
      <c r="Q42" s="2038"/>
      <c r="R42" s="2038"/>
      <c r="S42" s="2038"/>
      <c r="T42" s="2038"/>
      <c r="U42" s="2038"/>
      <c r="V42" s="2038"/>
      <c r="W42" s="2038"/>
      <c r="X42" s="2038"/>
      <c r="Y42" s="2038"/>
      <c r="Z42" s="2038"/>
      <c r="AA42" s="2038"/>
      <c r="AB42" s="2038"/>
      <c r="AC42" s="2038"/>
      <c r="AD42" s="2038"/>
      <c r="AE42" s="2047"/>
      <c r="AF42" s="2560"/>
      <c r="AG42" s="2556"/>
      <c r="AH42" s="2556"/>
      <c r="AI42" s="2560"/>
      <c r="AJ42" s="2556"/>
      <c r="AK42" s="2556"/>
      <c r="AL42" s="1988"/>
      <c r="AM42" s="1825"/>
      <c r="AN42" s="1825"/>
      <c r="AO42" s="1825"/>
      <c r="AP42" s="1825"/>
      <c r="AQ42" s="1825"/>
      <c r="AR42" s="1825"/>
      <c r="AS42" s="1825"/>
      <c r="AT42" s="1825"/>
      <c r="AU42" s="1825"/>
      <c r="AV42" s="1825"/>
      <c r="AW42" s="1825"/>
      <c r="AX42" s="1825"/>
      <c r="AY42" s="1825"/>
      <c r="AZ42" s="1825"/>
      <c r="BA42" s="1825"/>
      <c r="BB42" s="1825"/>
      <c r="BC42" s="1825"/>
      <c r="BD42" s="1825"/>
      <c r="BE42" s="1825"/>
      <c r="BF42" s="1825"/>
      <c r="BG42" s="1638"/>
    </row>
    <row customHeight="1" ht="11.25">
      <c r="A43" s="1169" t="s">
        <v>1019</v>
      </c>
      <c r="B43" s="1169"/>
      <c r="C43" s="1169"/>
      <c r="D43" s="1163"/>
      <c r="E43" s="1173"/>
      <c r="F43" s="1831"/>
      <c r="G43" s="686" t="s">
        <v>121</v>
      </c>
      <c r="H43" s="2537" t="s">
        <v>99</v>
      </c>
      <c r="I43" s="2538"/>
      <c r="J43" s="2507"/>
      <c r="K43" s="2539" t="s">
        <v>1066</v>
      </c>
      <c r="L43" s="2129" t="s">
        <v>19</v>
      </c>
      <c r="M43" s="2130"/>
      <c r="N43" s="1986"/>
      <c r="O43" s="1180" t="s">
        <v>377</v>
      </c>
      <c r="P43" s="1181"/>
      <c r="Q43" s="1181"/>
      <c r="R43" s="1181"/>
      <c r="S43" s="1181"/>
      <c r="T43" s="1181"/>
      <c r="U43" s="1181"/>
      <c r="V43" s="1181"/>
      <c r="W43" s="1181"/>
      <c r="X43" s="1181"/>
      <c r="Y43" s="1181"/>
      <c r="Z43" s="1181"/>
      <c r="AA43" s="1181"/>
      <c r="AB43" s="1181"/>
      <c r="AC43" s="1181"/>
      <c r="AD43" s="1181"/>
      <c r="AE43" s="1181"/>
      <c r="AF43" s="2528">
        <v>2027</v>
      </c>
      <c r="AG43" s="2529" t="s">
        <v>1060</v>
      </c>
      <c r="AH43" s="2529" t="s">
        <v>1067</v>
      </c>
      <c r="AI43" s="2528">
        <v>2025</v>
      </c>
      <c r="AJ43" s="2529" t="s">
        <v>1060</v>
      </c>
      <c r="AK43" s="2529" t="s">
        <v>1061</v>
      </c>
      <c r="AL43" s="1988"/>
      <c r="AM43" s="1825"/>
      <c r="AN43" s="1825"/>
      <c r="AO43" s="1825"/>
      <c r="AP43" s="1825"/>
      <c r="AQ43" s="1825"/>
      <c r="AR43" s="1825"/>
      <c r="AS43" s="1825"/>
      <c r="AT43" s="1825"/>
      <c r="AU43" s="1825"/>
      <c r="AV43" s="1825"/>
      <c r="AW43" s="1825"/>
      <c r="AX43" s="1825"/>
      <c r="AY43" s="1825"/>
      <c r="AZ43" s="1825"/>
      <c r="BA43" s="1825"/>
      <c r="BB43" s="1825"/>
      <c r="BC43" s="1825"/>
      <c r="BD43" s="1825"/>
      <c r="BE43" s="1825"/>
      <c r="BF43" s="1825"/>
      <c r="BG43" s="1638"/>
    </row>
    <row customHeight="1" ht="11.25">
      <c r="A44" s="1169" t="s">
        <v>1019</v>
      </c>
      <c r="B44" s="1169"/>
      <c r="C44" s="1169"/>
      <c r="D44" s="1163"/>
      <c r="E44" s="1173"/>
      <c r="F44" s="1831"/>
      <c r="G44" s="1832"/>
      <c r="H44" s="2537" t="s">
        <v>99</v>
      </c>
      <c r="I44" s="2538"/>
      <c r="J44" s="2507"/>
      <c r="K44" s="2539"/>
      <c r="L44" s="2129"/>
      <c r="M44" s="2130"/>
      <c r="N44" s="2530"/>
      <c r="O44" s="2531">
        <v>1</v>
      </c>
      <c r="P44" s="2532" t="s">
        <v>19</v>
      </c>
      <c r="Q44" s="2535" t="s">
        <v>22</v>
      </c>
      <c r="R44" s="2535" t="s">
        <v>22</v>
      </c>
      <c r="S44" s="2535" t="s">
        <v>22</v>
      </c>
      <c r="T44" s="2535" t="s">
        <v>22</v>
      </c>
      <c r="U44" s="2535" t="s">
        <v>22</v>
      </c>
      <c r="V44" s="2535" t="s">
        <v>22</v>
      </c>
      <c r="W44" s="2535" t="s">
        <v>22</v>
      </c>
      <c r="X44" s="2535" t="s">
        <v>22</v>
      </c>
      <c r="Y44" s="2535"/>
      <c r="Z44" s="1178"/>
      <c r="AA44" s="1179"/>
      <c r="AB44" s="1179"/>
      <c r="AC44" s="1183"/>
      <c r="AD44" s="1183"/>
      <c r="AE44" s="1184"/>
      <c r="AF44" s="2528"/>
      <c r="AG44" s="2529"/>
      <c r="AH44" s="2529"/>
      <c r="AI44" s="2528"/>
      <c r="AJ44" s="2529"/>
      <c r="AK44" s="2529"/>
      <c r="AL44" s="1988"/>
      <c r="AM44" s="1825"/>
      <c r="AN44" s="1825"/>
      <c r="AO44" s="1825"/>
      <c r="AP44" s="1825"/>
      <c r="AQ44" s="1825"/>
      <c r="AR44" s="1825"/>
      <c r="AS44" s="1825"/>
      <c r="AT44" s="1825"/>
      <c r="AU44" s="1825"/>
      <c r="AV44" s="1825"/>
      <c r="AW44" s="1825"/>
      <c r="AX44" s="1825"/>
      <c r="AY44" s="1825"/>
      <c r="AZ44" s="1825"/>
      <c r="BA44" s="1825"/>
      <c r="BB44" s="1825"/>
      <c r="BC44" s="1825"/>
      <c r="BD44" s="1825"/>
      <c r="BE44" s="1825"/>
      <c r="BF44" s="1825"/>
      <c r="BG44" s="1638"/>
    </row>
    <row customHeight="1" ht="11.25">
      <c r="A45" s="1169" t="s">
        <v>1019</v>
      </c>
      <c r="B45" s="1169"/>
      <c r="C45" s="1169"/>
      <c r="D45" s="1163"/>
      <c r="E45" s="1173"/>
      <c r="F45" s="1831"/>
      <c r="G45" s="1832"/>
      <c r="H45" s="2537" t="s">
        <v>99</v>
      </c>
      <c r="I45" s="2538"/>
      <c r="J45" s="2507"/>
      <c r="K45" s="2539"/>
      <c r="L45" s="2129"/>
      <c r="M45" s="2130"/>
      <c r="N45" s="2530"/>
      <c r="O45" s="2531"/>
      <c r="P45" s="2533"/>
      <c r="Q45" s="2535"/>
      <c r="R45" s="2535"/>
      <c r="S45" s="2536"/>
      <c r="T45" s="2535"/>
      <c r="U45" s="2535"/>
      <c r="V45" s="2535"/>
      <c r="W45" s="2535"/>
      <c r="X45" s="2535"/>
      <c r="Y45" s="2535"/>
      <c r="Z45" s="1830"/>
      <c r="AA45" s="1796">
        <v>1</v>
      </c>
      <c r="AB45" s="1182" t="s">
        <v>1068</v>
      </c>
      <c r="AC45" s="1172">
        <v>2558.5</v>
      </c>
      <c r="AD45" s="1182" t="str">
        <f>AB45</f>
        <v>  Прибыль направляемая на инвестиции</v>
      </c>
      <c r="AE45" s="1172">
        <v>2558.5</v>
      </c>
      <c r="AF45" s="2528"/>
      <c r="AG45" s="2529"/>
      <c r="AH45" s="2529"/>
      <c r="AI45" s="2528"/>
      <c r="AJ45" s="2529"/>
      <c r="AK45" s="2529"/>
      <c r="AL45" s="1988"/>
      <c r="AM45" s="1825"/>
      <c r="AN45" s="1825"/>
      <c r="AO45" s="1825"/>
      <c r="AP45" s="1825"/>
      <c r="AQ45" s="1825"/>
      <c r="AR45" s="1825"/>
      <c r="AS45" s="1825"/>
      <c r="AT45" s="1825"/>
      <c r="AU45" s="1825"/>
      <c r="AV45" s="1825"/>
      <c r="AW45" s="1825"/>
      <c r="AX45" s="1825"/>
      <c r="AY45" s="1825"/>
      <c r="AZ45" s="1825"/>
      <c r="BA45" s="1825"/>
      <c r="BB45" s="1825"/>
      <c r="BC45" s="1825"/>
      <c r="BD45" s="1825"/>
      <c r="BE45" s="1825"/>
      <c r="BF45" s="1825"/>
      <c r="BG45" s="1638"/>
    </row>
    <row customHeight="1" ht="11.25">
      <c r="A46" s="1169" t="s">
        <v>1019</v>
      </c>
      <c r="B46" s="1169"/>
      <c r="C46" s="1169"/>
      <c r="D46" s="1163"/>
      <c r="E46" s="1173"/>
      <c r="F46" s="1831"/>
      <c r="G46" s="1832"/>
      <c r="H46" s="2537" t="s">
        <v>99</v>
      </c>
      <c r="I46" s="2538"/>
      <c r="J46" s="2507"/>
      <c r="K46" s="2539"/>
      <c r="L46" s="2129"/>
      <c r="M46" s="2130"/>
      <c r="N46" s="2530"/>
      <c r="O46" s="2531"/>
      <c r="P46" s="2534"/>
      <c r="Q46" s="2535"/>
      <c r="R46" s="2535"/>
      <c r="S46" s="2536"/>
      <c r="T46" s="2535"/>
      <c r="U46" s="2535"/>
      <c r="V46" s="2535"/>
      <c r="W46" s="2535"/>
      <c r="X46" s="2535"/>
      <c r="Y46" s="2535"/>
      <c r="Z46" s="1178"/>
      <c r="AA46" s="1179"/>
      <c r="AB46" s="1244" t="s">
        <v>1064</v>
      </c>
      <c r="AC46" s="1183"/>
      <c r="AD46" s="1183"/>
      <c r="AE46" s="1185"/>
      <c r="AF46" s="2528"/>
      <c r="AG46" s="2529"/>
      <c r="AH46" s="2529"/>
      <c r="AI46" s="2528"/>
      <c r="AJ46" s="2529"/>
      <c r="AK46" s="2529"/>
      <c r="AL46" s="1988"/>
      <c r="AM46" s="1825"/>
      <c r="AN46" s="1825"/>
      <c r="AO46" s="1825"/>
      <c r="AP46" s="1825"/>
      <c r="AQ46" s="1825"/>
      <c r="AR46" s="1825"/>
      <c r="AS46" s="1825"/>
      <c r="AT46" s="1825"/>
      <c r="AU46" s="1825"/>
      <c r="AV46" s="1825"/>
      <c r="AW46" s="1825"/>
      <c r="AX46" s="1825"/>
      <c r="AY46" s="1825"/>
      <c r="AZ46" s="1825"/>
      <c r="BA46" s="1825"/>
      <c r="BB46" s="1825"/>
      <c r="BC46" s="1825"/>
      <c r="BD46" s="1825"/>
      <c r="BE46" s="1825"/>
      <c r="BF46" s="1825"/>
      <c r="BG46" s="1638"/>
    </row>
    <row customHeight="1" ht="11.25">
      <c r="A47" s="1169" t="s">
        <v>1019</v>
      </c>
      <c r="B47" s="1169"/>
      <c r="C47" s="1169"/>
      <c r="D47" s="1163"/>
      <c r="E47" s="1173"/>
      <c r="F47" s="1831"/>
      <c r="G47" s="1832"/>
      <c r="H47" s="2537" t="s">
        <v>99</v>
      </c>
      <c r="I47" s="2538"/>
      <c r="J47" s="2507"/>
      <c r="K47" s="2539"/>
      <c r="L47" s="2129"/>
      <c r="M47" s="2130"/>
      <c r="N47" s="1178"/>
      <c r="O47" s="1179"/>
      <c r="P47" s="1171" t="s">
        <v>1065</v>
      </c>
      <c r="Q47" s="1179"/>
      <c r="R47" s="1179"/>
      <c r="S47" s="1179"/>
      <c r="T47" s="1179"/>
      <c r="U47" s="1179"/>
      <c r="V47" s="1179"/>
      <c r="W47" s="1179"/>
      <c r="X47" s="1179"/>
      <c r="Y47" s="1179"/>
      <c r="Z47" s="1179"/>
      <c r="AA47" s="1179"/>
      <c r="AB47" s="1179"/>
      <c r="AC47" s="1179"/>
      <c r="AD47" s="1179"/>
      <c r="AE47" s="1186"/>
      <c r="AF47" s="2528"/>
      <c r="AG47" s="2529"/>
      <c r="AH47" s="2529"/>
      <c r="AI47" s="2528"/>
      <c r="AJ47" s="2529"/>
      <c r="AK47" s="2529"/>
      <c r="AL47" s="1988"/>
      <c r="AM47" s="1825"/>
      <c r="AN47" s="1825"/>
      <c r="AO47" s="1825"/>
      <c r="AP47" s="1825"/>
      <c r="AQ47" s="1825"/>
      <c r="AR47" s="1825"/>
      <c r="AS47" s="1825"/>
      <c r="AT47" s="1825"/>
      <c r="AU47" s="1825"/>
      <c r="AV47" s="1825"/>
      <c r="AW47" s="1825"/>
      <c r="AX47" s="1825"/>
      <c r="AY47" s="1825"/>
      <c r="AZ47" s="1825"/>
      <c r="BA47" s="1825"/>
      <c r="BB47" s="1825"/>
      <c r="BC47" s="1825"/>
      <c r="BD47" s="1825"/>
      <c r="BE47" s="1825"/>
      <c r="BF47" s="1825"/>
      <c r="BG47" s="1638"/>
    </row>
    <row customHeight="1" ht="12">
      <c r="A48" s="1169" t="s">
        <v>1019</v>
      </c>
      <c r="B48" s="1169"/>
      <c r="C48" s="1169"/>
      <c r="D48" s="1163"/>
      <c r="E48" s="1173"/>
      <c r="F48" s="2559"/>
      <c r="G48" s="1193"/>
      <c r="H48" s="1193"/>
      <c r="I48" s="2557" t="s">
        <v>1058</v>
      </c>
      <c r="J48" s="2557"/>
      <c r="K48" s="2557"/>
      <c r="L48" s="1176"/>
      <c r="M48" s="1176"/>
      <c r="N48" s="1177"/>
      <c r="O48" s="1177"/>
      <c r="P48" s="1177"/>
      <c r="Q48" s="1177"/>
      <c r="R48" s="1177"/>
      <c r="S48" s="1177"/>
      <c r="T48" s="1177"/>
      <c r="U48" s="1177"/>
      <c r="V48" s="1177"/>
      <c r="W48" s="1177"/>
      <c r="X48" s="1177"/>
      <c r="Y48" s="1177"/>
      <c r="Z48" s="1177"/>
      <c r="AA48" s="1177"/>
      <c r="AB48" s="1177"/>
      <c r="AC48" s="1177"/>
      <c r="AD48" s="1177"/>
      <c r="AE48" s="1177"/>
      <c r="AF48" s="1177"/>
      <c r="AG48" s="1176"/>
      <c r="AH48" s="1176"/>
      <c r="AI48" s="1177"/>
      <c r="AJ48" s="1176"/>
      <c r="AK48" s="1177"/>
      <c r="AL48" s="1988"/>
      <c r="AM48" s="1825"/>
      <c r="AN48" s="1825"/>
      <c r="AO48" s="1825"/>
      <c r="AP48" s="1825"/>
      <c r="AQ48" s="1825"/>
      <c r="AR48" s="1825"/>
      <c r="AS48" s="1825"/>
      <c r="AT48" s="1825"/>
      <c r="AU48" s="1825"/>
      <c r="AV48" s="1825"/>
      <c r="AW48" s="1825"/>
      <c r="AX48" s="1825"/>
      <c r="AY48" s="1825"/>
      <c r="AZ48" s="1825"/>
      <c r="BA48" s="1825"/>
      <c r="BB48" s="1825"/>
      <c r="BC48" s="1825"/>
      <c r="BD48" s="1825"/>
      <c r="BE48" s="1825"/>
      <c r="BF48" s="1825"/>
      <c r="BG48" s="1638"/>
    </row>
    <row customHeight="1" ht="21">
      <c r="A49" s="1170" t="s">
        <v>1027</v>
      </c>
      <c r="B49" s="1169"/>
      <c r="C49" s="1169"/>
      <c r="D49" s="1163"/>
      <c r="E49" s="1173" t="s">
        <v>22</v>
      </c>
      <c r="F49" s="1125" t="str">
        <f>INDEX(IP_MAIN_LIST_NAME_IP,MATCH(A49,IP_MAIN_LIST_IP_ID,0))&amp;" ("&amp;INDEX(IP_MAIN_START_DATE,MATCH(A49,IP_MAIN_LIST_IP_ID,0))&amp;"-"&amp;INDEX(IP_MAIN_END_DATE,MATCH(A49,IP_MAIN_LIST_IP_ID,0))&amp;")"</f>
        <v>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 (28.06.2024-31.12.2037)</v>
      </c>
      <c r="G49" s="1126"/>
      <c r="H49" s="1126"/>
      <c r="I49" s="1188"/>
      <c r="J49" s="1188"/>
      <c r="K49" s="1189"/>
      <c r="L49" s="1189"/>
      <c r="M49" s="1189"/>
      <c r="N49" s="1190"/>
      <c r="O49" s="1190"/>
      <c r="P49" s="1190"/>
      <c r="Q49" s="1190"/>
      <c r="R49" s="1190"/>
      <c r="S49" s="1190"/>
      <c r="T49" s="1190"/>
      <c r="U49" s="1190"/>
      <c r="V49" s="1190"/>
      <c r="W49" s="1190"/>
      <c r="X49" s="1190"/>
      <c r="Y49" s="1190"/>
      <c r="Z49" s="1190"/>
      <c r="AA49" s="1190"/>
      <c r="AB49" s="1190"/>
      <c r="AC49" s="1190"/>
      <c r="AD49" s="1190"/>
      <c r="AE49" s="1191"/>
      <c r="AF49" s="1189"/>
      <c r="AG49" s="1189"/>
      <c r="AH49" s="1189"/>
      <c r="AI49" s="1189"/>
      <c r="AJ49" s="1189"/>
      <c r="AK49" s="1189"/>
      <c r="AL49" s="1988"/>
      <c r="AM49" s="1825"/>
      <c r="AN49" s="1825"/>
      <c r="AO49" s="1825"/>
      <c r="AP49" s="1825"/>
      <c r="AQ49" s="1825"/>
      <c r="AR49" s="1825"/>
      <c r="AS49" s="1825"/>
      <c r="AT49" s="1825"/>
      <c r="AU49" s="1825"/>
      <c r="AV49" s="1825"/>
      <c r="AW49" s="1825"/>
      <c r="AX49" s="1825"/>
      <c r="AY49" s="1825"/>
      <c r="AZ49" s="1825"/>
      <c r="BA49" s="1825"/>
      <c r="BB49" s="1825"/>
      <c r="BC49" s="1825"/>
      <c r="BD49" s="1825"/>
      <c r="BE49" s="1825"/>
      <c r="BF49" s="1825"/>
      <c r="BG49" s="1638"/>
    </row>
    <row customHeight="1" ht="0.75">
      <c r="A50" s="1169" t="s">
        <v>1027</v>
      </c>
      <c r="B50" s="1169"/>
      <c r="C50" s="1169"/>
      <c r="D50" s="1163"/>
      <c r="E50" s="1173"/>
      <c r="F50" s="2558">
        <v>2024</v>
      </c>
      <c r="G50" s="2537"/>
      <c r="H50" s="2562" t="s">
        <v>377</v>
      </c>
      <c r="I50" s="2563"/>
      <c r="J50" s="2564"/>
      <c r="K50" s="2564"/>
      <c r="L50" s="2556"/>
      <c r="M50" s="2290"/>
      <c r="N50" s="2036"/>
      <c r="O50" s="2035"/>
      <c r="P50" s="2036"/>
      <c r="Q50" s="2036"/>
      <c r="R50" s="2036"/>
      <c r="S50" s="2036"/>
      <c r="T50" s="2036"/>
      <c r="U50" s="2036"/>
      <c r="V50" s="2036"/>
      <c r="W50" s="2036"/>
      <c r="X50" s="2036"/>
      <c r="Y50" s="2036"/>
      <c r="Z50" s="2036"/>
      <c r="AA50" s="2036"/>
      <c r="AB50" s="2036"/>
      <c r="AC50" s="2036"/>
      <c r="AD50" s="2036"/>
      <c r="AE50" s="2036"/>
      <c r="AF50" s="2560"/>
      <c r="AG50" s="2556"/>
      <c r="AH50" s="2556"/>
      <c r="AI50" s="2560"/>
      <c r="AJ50" s="2556"/>
      <c r="AK50" s="2556"/>
      <c r="AL50" s="1988"/>
      <c r="AM50" s="1825"/>
      <c r="AN50" s="1825"/>
      <c r="AO50" s="1825"/>
      <c r="AP50" s="1825"/>
      <c r="AQ50" s="1825"/>
      <c r="AR50" s="1825"/>
      <c r="AS50" s="1825"/>
      <c r="AT50" s="1825"/>
      <c r="AU50" s="1825"/>
      <c r="AV50" s="1825"/>
      <c r="AW50" s="1825"/>
      <c r="AX50" s="1825"/>
      <c r="AY50" s="1825"/>
      <c r="AZ50" s="1825"/>
      <c r="BA50" s="1825"/>
      <c r="BB50" s="1825"/>
      <c r="BC50" s="1825"/>
      <c r="BD50" s="1825"/>
      <c r="BE50" s="1825"/>
      <c r="BF50" s="1825"/>
      <c r="BG50" s="1638"/>
    </row>
    <row customHeight="1" ht="0.75">
      <c r="A51" s="1169" t="s">
        <v>1027</v>
      </c>
      <c r="B51" s="1169"/>
      <c r="C51" s="1169"/>
      <c r="D51" s="1163"/>
      <c r="E51" s="1173"/>
      <c r="F51" s="2558"/>
      <c r="G51" s="2537"/>
      <c r="H51" s="2562"/>
      <c r="I51" s="2563"/>
      <c r="J51" s="2564"/>
      <c r="K51" s="2564"/>
      <c r="L51" s="2556"/>
      <c r="M51" s="2290"/>
      <c r="N51" s="2565"/>
      <c r="O51" s="2566"/>
      <c r="P51" s="2610"/>
      <c r="Q51" s="2561"/>
      <c r="R51" s="2561"/>
      <c r="S51" s="2561"/>
      <c r="T51" s="2561"/>
      <c r="U51" s="2561"/>
      <c r="V51" s="2561"/>
      <c r="W51" s="2561"/>
      <c r="X51" s="2561"/>
      <c r="Y51" s="2561"/>
      <c r="Z51" s="2037"/>
      <c r="AA51" s="2038"/>
      <c r="AB51" s="2038"/>
      <c r="AC51" s="2039"/>
      <c r="AD51" s="2039"/>
      <c r="AE51" s="2040"/>
      <c r="AF51" s="2560"/>
      <c r="AG51" s="2556"/>
      <c r="AH51" s="2556"/>
      <c r="AI51" s="2560"/>
      <c r="AJ51" s="2556"/>
      <c r="AK51" s="2556"/>
      <c r="AL51" s="1988"/>
      <c r="AM51" s="1825"/>
      <c r="AN51" s="1825"/>
      <c r="AO51" s="1825"/>
      <c r="AP51" s="1825"/>
      <c r="AQ51" s="1825"/>
      <c r="AR51" s="1825"/>
      <c r="AS51" s="1825"/>
      <c r="AT51" s="1825"/>
      <c r="AU51" s="1825"/>
      <c r="AV51" s="1825"/>
      <c r="AW51" s="1825"/>
      <c r="AX51" s="1825"/>
      <c r="AY51" s="1825"/>
      <c r="AZ51" s="1825"/>
      <c r="BA51" s="1825"/>
      <c r="BB51" s="1825"/>
      <c r="BC51" s="1825"/>
      <c r="BD51" s="1825"/>
      <c r="BE51" s="1825"/>
      <c r="BF51" s="1825"/>
      <c r="BG51" s="1638"/>
    </row>
    <row customHeight="1" ht="0.75">
      <c r="A52" s="1169" t="s">
        <v>1027</v>
      </c>
      <c r="B52" s="1169"/>
      <c r="C52" s="1169"/>
      <c r="D52" s="1163"/>
      <c r="E52" s="1173"/>
      <c r="F52" s="2558"/>
      <c r="G52" s="2537"/>
      <c r="H52" s="2562"/>
      <c r="I52" s="2563"/>
      <c r="J52" s="2564"/>
      <c r="K52" s="2564"/>
      <c r="L52" s="2556"/>
      <c r="M52" s="2290"/>
      <c r="N52" s="2565"/>
      <c r="O52" s="2566"/>
      <c r="P52" s="2611"/>
      <c r="Q52" s="2561"/>
      <c r="R52" s="2561"/>
      <c r="S52" s="2561"/>
      <c r="T52" s="2561"/>
      <c r="U52" s="2561"/>
      <c r="V52" s="2561"/>
      <c r="W52" s="2561"/>
      <c r="X52" s="2561"/>
      <c r="Y52" s="2561"/>
      <c r="Z52" s="2041"/>
      <c r="AA52" s="2042"/>
      <c r="AB52" s="2043"/>
      <c r="AC52" s="2044"/>
      <c r="AD52" s="2043"/>
      <c r="AE52" s="2044"/>
      <c r="AF52" s="2560"/>
      <c r="AG52" s="2556"/>
      <c r="AH52" s="2556"/>
      <c r="AI52" s="2560"/>
      <c r="AJ52" s="2556"/>
      <c r="AK52" s="2556"/>
      <c r="AL52" s="1988"/>
      <c r="AM52" s="1825"/>
      <c r="AN52" s="1825"/>
      <c r="AO52" s="1825"/>
      <c r="AP52" s="1825"/>
      <c r="AQ52" s="1825"/>
      <c r="AR52" s="1825"/>
      <c r="AS52" s="1825"/>
      <c r="AT52" s="1825"/>
      <c r="AU52" s="1825"/>
      <c r="AV52" s="1825"/>
      <c r="AW52" s="1825"/>
      <c r="AX52" s="1825"/>
      <c r="AY52" s="1825"/>
      <c r="AZ52" s="1825"/>
      <c r="BA52" s="1825"/>
      <c r="BB52" s="1825"/>
      <c r="BC52" s="1825"/>
      <c r="BD52" s="1825"/>
      <c r="BE52" s="1825"/>
      <c r="BF52" s="1825"/>
      <c r="BG52" s="1638"/>
    </row>
    <row customHeight="1" ht="0.75">
      <c r="A53" s="1169" t="s">
        <v>1027</v>
      </c>
      <c r="B53" s="1169"/>
      <c r="C53" s="1169"/>
      <c r="D53" s="1163"/>
      <c r="E53" s="1173"/>
      <c r="F53" s="2558"/>
      <c r="G53" s="2537"/>
      <c r="H53" s="2562"/>
      <c r="I53" s="2563"/>
      <c r="J53" s="2564"/>
      <c r="K53" s="2564"/>
      <c r="L53" s="2556"/>
      <c r="M53" s="2290"/>
      <c r="N53" s="2565"/>
      <c r="O53" s="2566"/>
      <c r="P53" s="2612"/>
      <c r="Q53" s="2561"/>
      <c r="R53" s="2561"/>
      <c r="S53" s="2561"/>
      <c r="T53" s="2561"/>
      <c r="U53" s="2561"/>
      <c r="V53" s="2561"/>
      <c r="W53" s="2561"/>
      <c r="X53" s="2561"/>
      <c r="Y53" s="2561"/>
      <c r="Z53" s="2037"/>
      <c r="AA53" s="2038"/>
      <c r="AB53" s="2045"/>
      <c r="AC53" s="2039"/>
      <c r="AD53" s="2039"/>
      <c r="AE53" s="2046"/>
      <c r="AF53" s="2560"/>
      <c r="AG53" s="2556"/>
      <c r="AH53" s="2556"/>
      <c r="AI53" s="2560"/>
      <c r="AJ53" s="2556"/>
      <c r="AK53" s="2556"/>
      <c r="AL53" s="1988"/>
      <c r="AM53" s="1825"/>
      <c r="AN53" s="1825"/>
      <c r="AO53" s="1825"/>
      <c r="AP53" s="1825"/>
      <c r="AQ53" s="1825"/>
      <c r="AR53" s="1825"/>
      <c r="AS53" s="1825"/>
      <c r="AT53" s="1825"/>
      <c r="AU53" s="1825"/>
      <c r="AV53" s="1825"/>
      <c r="AW53" s="1825"/>
      <c r="AX53" s="1825"/>
      <c r="AY53" s="1825"/>
      <c r="AZ53" s="1825"/>
      <c r="BA53" s="1825"/>
      <c r="BB53" s="1825"/>
      <c r="BC53" s="1825"/>
      <c r="BD53" s="1825"/>
      <c r="BE53" s="1825"/>
      <c r="BF53" s="1825"/>
      <c r="BG53" s="1638"/>
    </row>
    <row customHeight="1" ht="0.75">
      <c r="A54" s="1169" t="s">
        <v>1027</v>
      </c>
      <c r="B54" s="1169"/>
      <c r="C54" s="1169"/>
      <c r="D54" s="1163"/>
      <c r="E54" s="1173"/>
      <c r="F54" s="2558"/>
      <c r="G54" s="2537"/>
      <c r="H54" s="2562"/>
      <c r="I54" s="2563"/>
      <c r="J54" s="2564"/>
      <c r="K54" s="2564"/>
      <c r="L54" s="2556"/>
      <c r="M54" s="2290"/>
      <c r="N54" s="2038"/>
      <c r="O54" s="2038"/>
      <c r="P54" s="2045"/>
      <c r="Q54" s="2038"/>
      <c r="R54" s="2038"/>
      <c r="S54" s="2038"/>
      <c r="T54" s="2038"/>
      <c r="U54" s="2038"/>
      <c r="V54" s="2038"/>
      <c r="W54" s="2038"/>
      <c r="X54" s="2038"/>
      <c r="Y54" s="2038"/>
      <c r="Z54" s="2038"/>
      <c r="AA54" s="2038"/>
      <c r="AB54" s="2038"/>
      <c r="AC54" s="2038"/>
      <c r="AD54" s="2038"/>
      <c r="AE54" s="2047"/>
      <c r="AF54" s="2560"/>
      <c r="AG54" s="2556"/>
      <c r="AH54" s="2556"/>
      <c r="AI54" s="2560"/>
      <c r="AJ54" s="2556"/>
      <c r="AK54" s="2556"/>
      <c r="AL54" s="1988"/>
      <c r="AM54" s="1825"/>
      <c r="AN54" s="1825"/>
      <c r="AO54" s="1825"/>
      <c r="AP54" s="1825"/>
      <c r="AQ54" s="1825"/>
      <c r="AR54" s="1825"/>
      <c r="AS54" s="1825"/>
      <c r="AT54" s="1825"/>
      <c r="AU54" s="1825"/>
      <c r="AV54" s="1825"/>
      <c r="AW54" s="1825"/>
      <c r="AX54" s="1825"/>
      <c r="AY54" s="1825"/>
      <c r="AZ54" s="1825"/>
      <c r="BA54" s="1825"/>
      <c r="BB54" s="1825"/>
      <c r="BC54" s="1825"/>
      <c r="BD54" s="1825"/>
      <c r="BE54" s="1825"/>
      <c r="BF54" s="1825"/>
      <c r="BG54" s="1638"/>
    </row>
    <row customHeight="1" ht="12">
      <c r="A55" s="1169" t="s">
        <v>1027</v>
      </c>
      <c r="B55" s="1169"/>
      <c r="C55" s="1169"/>
      <c r="D55" s="1163"/>
      <c r="E55" s="1173"/>
      <c r="F55" s="2559"/>
      <c r="G55" s="1193"/>
      <c r="H55" s="1193"/>
      <c r="I55" s="2557" t="s">
        <v>1058</v>
      </c>
      <c r="J55" s="2557"/>
      <c r="K55" s="2557"/>
      <c r="L55" s="1176"/>
      <c r="M55" s="1176"/>
      <c r="N55" s="1177"/>
      <c r="O55" s="1177"/>
      <c r="P55" s="1177"/>
      <c r="Q55" s="1177"/>
      <c r="R55" s="1177"/>
      <c r="S55" s="1177"/>
      <c r="T55" s="1177"/>
      <c r="U55" s="1177"/>
      <c r="V55" s="1177"/>
      <c r="W55" s="1177"/>
      <c r="X55" s="1177"/>
      <c r="Y55" s="1177"/>
      <c r="Z55" s="1177"/>
      <c r="AA55" s="1177"/>
      <c r="AB55" s="1177"/>
      <c r="AC55" s="1177"/>
      <c r="AD55" s="1177"/>
      <c r="AE55" s="1177"/>
      <c r="AF55" s="1177"/>
      <c r="AG55" s="1176"/>
      <c r="AH55" s="1176"/>
      <c r="AI55" s="1177"/>
      <c r="AJ55" s="1176"/>
      <c r="AK55" s="1177"/>
      <c r="AL55" s="1988"/>
      <c r="AM55" s="1825"/>
      <c r="AN55" s="1825"/>
      <c r="AO55" s="1825"/>
      <c r="AP55" s="1825"/>
      <c r="AQ55" s="1825"/>
      <c r="AR55" s="1825"/>
      <c r="AS55" s="1825"/>
      <c r="AT55" s="1825"/>
      <c r="AU55" s="1825"/>
      <c r="AV55" s="1825"/>
      <c r="AW55" s="1825"/>
      <c r="AX55" s="1825"/>
      <c r="AY55" s="1825"/>
      <c r="AZ55" s="1825"/>
      <c r="BA55" s="1825"/>
      <c r="BB55" s="1825"/>
      <c r="BC55" s="1825"/>
      <c r="BD55" s="1825"/>
      <c r="BE55" s="1825"/>
      <c r="BF55" s="1825"/>
      <c r="BG55" s="1638"/>
    </row>
    <row customHeight="1" ht="0.75">
      <c r="A56" s="1169" t="s">
        <v>1027</v>
      </c>
      <c r="B56" s="1169"/>
      <c r="C56" s="1169"/>
      <c r="D56" s="1163"/>
      <c r="E56" s="1173"/>
      <c r="F56" s="2558">
        <v>2025</v>
      </c>
      <c r="G56" s="2537"/>
      <c r="H56" s="2562" t="s">
        <v>377</v>
      </c>
      <c r="I56" s="2563"/>
      <c r="J56" s="2564"/>
      <c r="K56" s="2564"/>
      <c r="L56" s="2556"/>
      <c r="M56" s="2290"/>
      <c r="N56" s="2036"/>
      <c r="O56" s="2035"/>
      <c r="P56" s="2036"/>
      <c r="Q56" s="2036"/>
      <c r="R56" s="2036"/>
      <c r="S56" s="2036"/>
      <c r="T56" s="2036"/>
      <c r="U56" s="2036"/>
      <c r="V56" s="2036"/>
      <c r="W56" s="2036"/>
      <c r="X56" s="2036"/>
      <c r="Y56" s="2036"/>
      <c r="Z56" s="2036"/>
      <c r="AA56" s="2036"/>
      <c r="AB56" s="2036"/>
      <c r="AC56" s="2036"/>
      <c r="AD56" s="2036"/>
      <c r="AE56" s="2036"/>
      <c r="AF56" s="2560"/>
      <c r="AG56" s="2556"/>
      <c r="AH56" s="2556"/>
      <c r="AI56" s="2560"/>
      <c r="AJ56" s="2556"/>
      <c r="AK56" s="2556"/>
      <c r="AL56" s="1988"/>
      <c r="AM56" s="1825"/>
      <c r="AN56" s="1825"/>
      <c r="AO56" s="1825"/>
      <c r="AP56" s="1825"/>
      <c r="AQ56" s="1825"/>
      <c r="AR56" s="1825"/>
      <c r="AS56" s="1825"/>
      <c r="AT56" s="1825"/>
      <c r="AU56" s="1825"/>
      <c r="AV56" s="1825"/>
      <c r="AW56" s="1825"/>
      <c r="AX56" s="1825"/>
      <c r="AY56" s="1825"/>
      <c r="AZ56" s="1825"/>
      <c r="BA56" s="1825"/>
      <c r="BB56" s="1825"/>
      <c r="BC56" s="1825"/>
      <c r="BD56" s="1825"/>
      <c r="BE56" s="1825"/>
      <c r="BF56" s="1825"/>
      <c r="BG56" s="1638"/>
    </row>
    <row customHeight="1" ht="0.75">
      <c r="A57" s="1169" t="s">
        <v>1027</v>
      </c>
      <c r="B57" s="1169"/>
      <c r="C57" s="1169"/>
      <c r="D57" s="1163"/>
      <c r="E57" s="1173"/>
      <c r="F57" s="2558"/>
      <c r="G57" s="2537"/>
      <c r="H57" s="2562"/>
      <c r="I57" s="2563"/>
      <c r="J57" s="2564"/>
      <c r="K57" s="2564"/>
      <c r="L57" s="2556"/>
      <c r="M57" s="2290"/>
      <c r="N57" s="2565"/>
      <c r="O57" s="2566"/>
      <c r="P57" s="2610"/>
      <c r="Q57" s="2561"/>
      <c r="R57" s="2561"/>
      <c r="S57" s="2561"/>
      <c r="T57" s="2561"/>
      <c r="U57" s="2561"/>
      <c r="V57" s="2561"/>
      <c r="W57" s="2561"/>
      <c r="X57" s="2561"/>
      <c r="Y57" s="2561"/>
      <c r="Z57" s="2037"/>
      <c r="AA57" s="2038"/>
      <c r="AB57" s="2038"/>
      <c r="AC57" s="2039"/>
      <c r="AD57" s="2039"/>
      <c r="AE57" s="2040"/>
      <c r="AF57" s="2560"/>
      <c r="AG57" s="2556"/>
      <c r="AH57" s="2556"/>
      <c r="AI57" s="2560"/>
      <c r="AJ57" s="2556"/>
      <c r="AK57" s="2556"/>
      <c r="AL57" s="1988"/>
      <c r="AM57" s="1825"/>
      <c r="AN57" s="1825"/>
      <c r="AO57" s="1825"/>
      <c r="AP57" s="1825"/>
      <c r="AQ57" s="1825"/>
      <c r="AR57" s="1825"/>
      <c r="AS57" s="1825"/>
      <c r="AT57" s="1825"/>
      <c r="AU57" s="1825"/>
      <c r="AV57" s="1825"/>
      <c r="AW57" s="1825"/>
      <c r="AX57" s="1825"/>
      <c r="AY57" s="1825"/>
      <c r="AZ57" s="1825"/>
      <c r="BA57" s="1825"/>
      <c r="BB57" s="1825"/>
      <c r="BC57" s="1825"/>
      <c r="BD57" s="1825"/>
      <c r="BE57" s="1825"/>
      <c r="BF57" s="1825"/>
      <c r="BG57" s="1638"/>
    </row>
    <row customHeight="1" ht="0.75">
      <c r="A58" s="1169" t="s">
        <v>1027</v>
      </c>
      <c r="B58" s="1169"/>
      <c r="C58" s="1169"/>
      <c r="D58" s="1163"/>
      <c r="E58" s="1173"/>
      <c r="F58" s="2558"/>
      <c r="G58" s="2537"/>
      <c r="H58" s="2562"/>
      <c r="I58" s="2563"/>
      <c r="J58" s="2564"/>
      <c r="K58" s="2564"/>
      <c r="L58" s="2556"/>
      <c r="M58" s="2290"/>
      <c r="N58" s="2565"/>
      <c r="O58" s="2566"/>
      <c r="P58" s="2611"/>
      <c r="Q58" s="2561"/>
      <c r="R58" s="2561"/>
      <c r="S58" s="2561"/>
      <c r="T58" s="2561"/>
      <c r="U58" s="2561"/>
      <c r="V58" s="2561"/>
      <c r="W58" s="2561"/>
      <c r="X58" s="2561"/>
      <c r="Y58" s="2561"/>
      <c r="Z58" s="2041"/>
      <c r="AA58" s="2042"/>
      <c r="AB58" s="2043"/>
      <c r="AC58" s="2044"/>
      <c r="AD58" s="2043"/>
      <c r="AE58" s="2044"/>
      <c r="AF58" s="2560"/>
      <c r="AG58" s="2556"/>
      <c r="AH58" s="2556"/>
      <c r="AI58" s="2560"/>
      <c r="AJ58" s="2556"/>
      <c r="AK58" s="2556"/>
      <c r="AL58" s="1988"/>
      <c r="AM58" s="1825"/>
      <c r="AN58" s="1825"/>
      <c r="AO58" s="1825"/>
      <c r="AP58" s="1825"/>
      <c r="AQ58" s="1825"/>
      <c r="AR58" s="1825"/>
      <c r="AS58" s="1825"/>
      <c r="AT58" s="1825"/>
      <c r="AU58" s="1825"/>
      <c r="AV58" s="1825"/>
      <c r="AW58" s="1825"/>
      <c r="AX58" s="1825"/>
      <c r="AY58" s="1825"/>
      <c r="AZ58" s="1825"/>
      <c r="BA58" s="1825"/>
      <c r="BB58" s="1825"/>
      <c r="BC58" s="1825"/>
      <c r="BD58" s="1825"/>
      <c r="BE58" s="1825"/>
      <c r="BF58" s="1825"/>
      <c r="BG58" s="1638"/>
    </row>
    <row customHeight="1" ht="0.75">
      <c r="A59" s="1169" t="s">
        <v>1027</v>
      </c>
      <c r="B59" s="1169"/>
      <c r="C59" s="1169"/>
      <c r="D59" s="1163"/>
      <c r="E59" s="1173"/>
      <c r="F59" s="2558"/>
      <c r="G59" s="2537"/>
      <c r="H59" s="2562"/>
      <c r="I59" s="2563"/>
      <c r="J59" s="2564"/>
      <c r="K59" s="2564"/>
      <c r="L59" s="2556"/>
      <c r="M59" s="2290"/>
      <c r="N59" s="2565"/>
      <c r="O59" s="2566"/>
      <c r="P59" s="2612"/>
      <c r="Q59" s="2561"/>
      <c r="R59" s="2561"/>
      <c r="S59" s="2561"/>
      <c r="T59" s="2561"/>
      <c r="U59" s="2561"/>
      <c r="V59" s="2561"/>
      <c r="W59" s="2561"/>
      <c r="X59" s="2561"/>
      <c r="Y59" s="2561"/>
      <c r="Z59" s="2037"/>
      <c r="AA59" s="2038"/>
      <c r="AB59" s="2045"/>
      <c r="AC59" s="2039"/>
      <c r="AD59" s="2039"/>
      <c r="AE59" s="2046"/>
      <c r="AF59" s="2560"/>
      <c r="AG59" s="2556"/>
      <c r="AH59" s="2556"/>
      <c r="AI59" s="2560"/>
      <c r="AJ59" s="2556"/>
      <c r="AK59" s="2556"/>
      <c r="AL59" s="1988"/>
      <c r="AM59" s="1825"/>
      <c r="AN59" s="1825"/>
      <c r="AO59" s="1825"/>
      <c r="AP59" s="1825"/>
      <c r="AQ59" s="1825"/>
      <c r="AR59" s="1825"/>
      <c r="AS59" s="1825"/>
      <c r="AT59" s="1825"/>
      <c r="AU59" s="1825"/>
      <c r="AV59" s="1825"/>
      <c r="AW59" s="1825"/>
      <c r="AX59" s="1825"/>
      <c r="AY59" s="1825"/>
      <c r="AZ59" s="1825"/>
      <c r="BA59" s="1825"/>
      <c r="BB59" s="1825"/>
      <c r="BC59" s="1825"/>
      <c r="BD59" s="1825"/>
      <c r="BE59" s="1825"/>
      <c r="BF59" s="1825"/>
      <c r="BG59" s="1638"/>
    </row>
    <row customHeight="1" ht="0.75">
      <c r="A60" s="1169" t="s">
        <v>1027</v>
      </c>
      <c r="B60" s="1169"/>
      <c r="C60" s="1169"/>
      <c r="D60" s="1163"/>
      <c r="E60" s="1173"/>
      <c r="F60" s="2558"/>
      <c r="G60" s="2537"/>
      <c r="H60" s="2562"/>
      <c r="I60" s="2563"/>
      <c r="J60" s="2564"/>
      <c r="K60" s="2564"/>
      <c r="L60" s="2556"/>
      <c r="M60" s="2290"/>
      <c r="N60" s="2038"/>
      <c r="O60" s="2038"/>
      <c r="P60" s="2045"/>
      <c r="Q60" s="2038"/>
      <c r="R60" s="2038"/>
      <c r="S60" s="2038"/>
      <c r="T60" s="2038"/>
      <c r="U60" s="2038"/>
      <c r="V60" s="2038"/>
      <c r="W60" s="2038"/>
      <c r="X60" s="2038"/>
      <c r="Y60" s="2038"/>
      <c r="Z60" s="2038"/>
      <c r="AA60" s="2038"/>
      <c r="AB60" s="2038"/>
      <c r="AC60" s="2038"/>
      <c r="AD60" s="2038"/>
      <c r="AE60" s="2047"/>
      <c r="AF60" s="2560"/>
      <c r="AG60" s="2556"/>
      <c r="AH60" s="2556"/>
      <c r="AI60" s="2560"/>
      <c r="AJ60" s="2556"/>
      <c r="AK60" s="2556"/>
      <c r="AL60" s="1988"/>
      <c r="AM60" s="1825"/>
      <c r="AN60" s="1825"/>
      <c r="AO60" s="1825"/>
      <c r="AP60" s="1825"/>
      <c r="AQ60" s="1825"/>
      <c r="AR60" s="1825"/>
      <c r="AS60" s="1825"/>
      <c r="AT60" s="1825"/>
      <c r="AU60" s="1825"/>
      <c r="AV60" s="1825"/>
      <c r="AW60" s="1825"/>
      <c r="AX60" s="1825"/>
      <c r="AY60" s="1825"/>
      <c r="AZ60" s="1825"/>
      <c r="BA60" s="1825"/>
      <c r="BB60" s="1825"/>
      <c r="BC60" s="1825"/>
      <c r="BD60" s="1825"/>
      <c r="BE60" s="1825"/>
      <c r="BF60" s="1825"/>
      <c r="BG60" s="1638"/>
    </row>
    <row customHeight="1" ht="11.25">
      <c r="A61" s="1169" t="s">
        <v>1027</v>
      </c>
      <c r="B61" s="1169"/>
      <c r="C61" s="1169"/>
      <c r="D61" s="1163"/>
      <c r="E61" s="1173"/>
      <c r="F61" s="1831"/>
      <c r="G61" s="686" t="s">
        <v>121</v>
      </c>
      <c r="H61" s="2537" t="s">
        <v>99</v>
      </c>
      <c r="I61" s="2538"/>
      <c r="J61" s="2507"/>
      <c r="K61" s="2539" t="s">
        <v>1069</v>
      </c>
      <c r="L61" s="2129" t="s">
        <v>62</v>
      </c>
      <c r="M61" s="2682" t="s">
        <v>1026</v>
      </c>
      <c r="N61" s="1986"/>
      <c r="O61" s="1180" t="s">
        <v>377</v>
      </c>
      <c r="P61" s="1181"/>
      <c r="Q61" s="1181"/>
      <c r="R61" s="1181"/>
      <c r="S61" s="1181"/>
      <c r="T61" s="1181"/>
      <c r="U61" s="1181"/>
      <c r="V61" s="1181"/>
      <c r="W61" s="1181"/>
      <c r="X61" s="1181"/>
      <c r="Y61" s="1181"/>
      <c r="Z61" s="1181"/>
      <c r="AA61" s="1181"/>
      <c r="AB61" s="1181"/>
      <c r="AC61" s="1181"/>
      <c r="AD61" s="1181"/>
      <c r="AE61" s="1181"/>
      <c r="AF61" s="2528">
        <v>2025</v>
      </c>
      <c r="AG61" s="2529" t="s">
        <v>1060</v>
      </c>
      <c r="AH61" s="2529" t="s">
        <v>1061</v>
      </c>
      <c r="AI61" s="2528">
        <v>2025</v>
      </c>
      <c r="AJ61" s="2529" t="s">
        <v>1060</v>
      </c>
      <c r="AK61" s="2529" t="s">
        <v>1061</v>
      </c>
      <c r="AL61" s="1988"/>
      <c r="AM61" s="1825"/>
      <c r="AN61" s="1825"/>
      <c r="AO61" s="1825"/>
      <c r="AP61" s="1825"/>
      <c r="AQ61" s="1825"/>
      <c r="AR61" s="1825"/>
      <c r="AS61" s="1825"/>
      <c r="AT61" s="1825"/>
      <c r="AU61" s="1825"/>
      <c r="AV61" s="1825"/>
      <c r="AW61" s="1825"/>
      <c r="AX61" s="1825"/>
      <c r="AY61" s="1825"/>
      <c r="AZ61" s="1825"/>
      <c r="BA61" s="1825"/>
      <c r="BB61" s="1825"/>
      <c r="BC61" s="1825"/>
      <c r="BD61" s="1825"/>
      <c r="BE61" s="1825"/>
      <c r="BF61" s="1825"/>
      <c r="BG61" s="1638"/>
    </row>
    <row customHeight="1" ht="11.25">
      <c r="A62" s="1169" t="s">
        <v>1027</v>
      </c>
      <c r="B62" s="1169"/>
      <c r="C62" s="1169"/>
      <c r="D62" s="1163"/>
      <c r="E62" s="1173"/>
      <c r="F62" s="1831"/>
      <c r="G62" s="1832"/>
      <c r="H62" s="2537" t="s">
        <v>377</v>
      </c>
      <c r="I62" s="2538"/>
      <c r="J62" s="2507"/>
      <c r="K62" s="2539"/>
      <c r="L62" s="2129"/>
      <c r="M62" s="2682"/>
      <c r="N62" s="2530"/>
      <c r="O62" s="2531">
        <v>1</v>
      </c>
      <c r="P62" s="2532" t="s">
        <v>19</v>
      </c>
      <c r="Q62" s="2535" t="s">
        <v>22</v>
      </c>
      <c r="R62" s="2535" t="s">
        <v>22</v>
      </c>
      <c r="S62" s="2535" t="s">
        <v>22</v>
      </c>
      <c r="T62" s="2535" t="s">
        <v>22</v>
      </c>
      <c r="U62" s="2535" t="s">
        <v>22</v>
      </c>
      <c r="V62" s="2535" t="s">
        <v>22</v>
      </c>
      <c r="W62" s="2535" t="s">
        <v>22</v>
      </c>
      <c r="X62" s="2535" t="s">
        <v>22</v>
      </c>
      <c r="Y62" s="2535"/>
      <c r="Z62" s="1178"/>
      <c r="AA62" s="1179"/>
      <c r="AB62" s="1179"/>
      <c r="AC62" s="1183"/>
      <c r="AD62" s="1183"/>
      <c r="AE62" s="1184"/>
      <c r="AF62" s="2528"/>
      <c r="AG62" s="2529"/>
      <c r="AH62" s="2529"/>
      <c r="AI62" s="2528"/>
      <c r="AJ62" s="2529"/>
      <c r="AK62" s="2529"/>
      <c r="AL62" s="1988"/>
      <c r="AM62" s="1825"/>
      <c r="AN62" s="1825"/>
      <c r="AO62" s="1825"/>
      <c r="AP62" s="1825"/>
      <c r="AQ62" s="1825"/>
      <c r="AR62" s="1825"/>
      <c r="AS62" s="1825"/>
      <c r="AT62" s="1825"/>
      <c r="AU62" s="1825"/>
      <c r="AV62" s="1825"/>
      <c r="AW62" s="1825"/>
      <c r="AX62" s="1825"/>
      <c r="AY62" s="1825"/>
      <c r="AZ62" s="1825"/>
      <c r="BA62" s="1825"/>
      <c r="BB62" s="1825"/>
      <c r="BC62" s="1825"/>
      <c r="BD62" s="1825"/>
      <c r="BE62" s="1825"/>
      <c r="BF62" s="1825"/>
      <c r="BG62" s="1638"/>
    </row>
    <row customHeight="1" ht="11.25">
      <c r="A63" s="1169" t="s">
        <v>1027</v>
      </c>
      <c r="B63" s="1169"/>
      <c r="C63" s="1169"/>
      <c r="D63" s="1163"/>
      <c r="E63" s="1173"/>
      <c r="F63" s="1831"/>
      <c r="G63" s="1832"/>
      <c r="H63" s="2537" t="s">
        <v>377</v>
      </c>
      <c r="I63" s="2538"/>
      <c r="J63" s="2507"/>
      <c r="K63" s="2539"/>
      <c r="L63" s="2129"/>
      <c r="M63" s="2682"/>
      <c r="N63" s="2530"/>
      <c r="O63" s="2531"/>
      <c r="P63" s="2533"/>
      <c r="Q63" s="2535"/>
      <c r="R63" s="2535"/>
      <c r="S63" s="2536"/>
      <c r="T63" s="2535"/>
      <c r="U63" s="2535"/>
      <c r="V63" s="2535"/>
      <c r="W63" s="2535"/>
      <c r="X63" s="2535"/>
      <c r="Y63" s="2535"/>
      <c r="Z63" s="1830"/>
      <c r="AA63" s="1796">
        <v>1</v>
      </c>
      <c r="AB63" s="1182" t="s">
        <v>1068</v>
      </c>
      <c r="AC63" s="1172">
        <v>109.8</v>
      </c>
      <c r="AD63" s="1182" t="str">
        <f>AB63</f>
        <v>  Прибыль направляемая на инвестиции</v>
      </c>
      <c r="AE63" s="1172">
        <v>119</v>
      </c>
      <c r="AF63" s="2528"/>
      <c r="AG63" s="2529"/>
      <c r="AH63" s="2529"/>
      <c r="AI63" s="2528"/>
      <c r="AJ63" s="2529"/>
      <c r="AK63" s="2529"/>
      <c r="AL63" s="1988"/>
      <c r="AM63" s="1825"/>
      <c r="AN63" s="1825"/>
      <c r="AO63" s="1825"/>
      <c r="AP63" s="1825"/>
      <c r="AQ63" s="1825"/>
      <c r="AR63" s="1825"/>
      <c r="AS63" s="1825"/>
      <c r="AT63" s="1825"/>
      <c r="AU63" s="1825"/>
      <c r="AV63" s="1825"/>
      <c r="AW63" s="1825"/>
      <c r="AX63" s="1825"/>
      <c r="AY63" s="1825"/>
      <c r="AZ63" s="1825"/>
      <c r="BA63" s="1825"/>
      <c r="BB63" s="1825"/>
      <c r="BC63" s="1825"/>
      <c r="BD63" s="1825"/>
      <c r="BE63" s="1825"/>
      <c r="BF63" s="1825"/>
      <c r="BG63" s="1638"/>
    </row>
    <row customHeight="1" ht="11.25">
      <c r="A64" s="1169" t="s">
        <v>1027</v>
      </c>
      <c r="B64" s="1169"/>
      <c r="C64" s="1169"/>
      <c r="D64" s="1163"/>
      <c r="E64" s="1173"/>
      <c r="F64" s="1831"/>
      <c r="G64" s="1832"/>
      <c r="H64" s="2537" t="s">
        <v>377</v>
      </c>
      <c r="I64" s="2538"/>
      <c r="J64" s="2507"/>
      <c r="K64" s="2539"/>
      <c r="L64" s="2129"/>
      <c r="M64" s="2682"/>
      <c r="N64" s="2530"/>
      <c r="O64" s="2531"/>
      <c r="P64" s="2534"/>
      <c r="Q64" s="2535"/>
      <c r="R64" s="2535"/>
      <c r="S64" s="2536"/>
      <c r="T64" s="2535"/>
      <c r="U64" s="2535"/>
      <c r="V64" s="2535"/>
      <c r="W64" s="2535"/>
      <c r="X64" s="2535"/>
      <c r="Y64" s="2535"/>
      <c r="Z64" s="1178"/>
      <c r="AA64" s="1179"/>
      <c r="AB64" s="1244" t="s">
        <v>1064</v>
      </c>
      <c r="AC64" s="1183"/>
      <c r="AD64" s="1183"/>
      <c r="AE64" s="1185"/>
      <c r="AF64" s="2528"/>
      <c r="AG64" s="2529"/>
      <c r="AH64" s="2529"/>
      <c r="AI64" s="2528"/>
      <c r="AJ64" s="2529"/>
      <c r="AK64" s="2529"/>
      <c r="AL64" s="1988"/>
      <c r="AM64" s="1825"/>
      <c r="AN64" s="1825"/>
      <c r="AO64" s="1825"/>
      <c r="AP64" s="1825"/>
      <c r="AQ64" s="1825"/>
      <c r="AR64" s="1825"/>
      <c r="AS64" s="1825"/>
      <c r="AT64" s="1825"/>
      <c r="AU64" s="1825"/>
      <c r="AV64" s="1825"/>
      <c r="AW64" s="1825"/>
      <c r="AX64" s="1825"/>
      <c r="AY64" s="1825"/>
      <c r="AZ64" s="1825"/>
      <c r="BA64" s="1825"/>
      <c r="BB64" s="1825"/>
      <c r="BC64" s="1825"/>
      <c r="BD64" s="1825"/>
      <c r="BE64" s="1825"/>
      <c r="BF64" s="1825"/>
      <c r="BG64" s="1638"/>
    </row>
    <row customHeight="1" ht="11.25">
      <c r="A65" s="1169" t="s">
        <v>1027</v>
      </c>
      <c r="B65" s="1169"/>
      <c r="C65" s="1169"/>
      <c r="D65" s="1163"/>
      <c r="E65" s="1173"/>
      <c r="F65" s="1831"/>
      <c r="G65" s="1832"/>
      <c r="H65" s="2537" t="s">
        <v>377</v>
      </c>
      <c r="I65" s="2538"/>
      <c r="J65" s="2507"/>
      <c r="K65" s="2539"/>
      <c r="L65" s="2129"/>
      <c r="M65" s="2682"/>
      <c r="N65" s="1178"/>
      <c r="O65" s="1179"/>
      <c r="P65" s="1171" t="s">
        <v>1065</v>
      </c>
      <c r="Q65" s="1179"/>
      <c r="R65" s="1179"/>
      <c r="S65" s="1179"/>
      <c r="T65" s="1179"/>
      <c r="U65" s="1179"/>
      <c r="V65" s="1179"/>
      <c r="W65" s="1179"/>
      <c r="X65" s="1179"/>
      <c r="Y65" s="1179"/>
      <c r="Z65" s="1179"/>
      <c r="AA65" s="1179"/>
      <c r="AB65" s="1179"/>
      <c r="AC65" s="1179"/>
      <c r="AD65" s="1179"/>
      <c r="AE65" s="1186"/>
      <c r="AF65" s="2528"/>
      <c r="AG65" s="2529"/>
      <c r="AH65" s="2529"/>
      <c r="AI65" s="2528"/>
      <c r="AJ65" s="2529"/>
      <c r="AK65" s="2529"/>
      <c r="AL65" s="1988"/>
      <c r="AM65" s="1825"/>
      <c r="AN65" s="1825"/>
      <c r="AO65" s="1825"/>
      <c r="AP65" s="1825"/>
      <c r="AQ65" s="1825"/>
      <c r="AR65" s="1825"/>
      <c r="AS65" s="1825"/>
      <c r="AT65" s="1825"/>
      <c r="AU65" s="1825"/>
      <c r="AV65" s="1825"/>
      <c r="AW65" s="1825"/>
      <c r="AX65" s="1825"/>
      <c r="AY65" s="1825"/>
      <c r="AZ65" s="1825"/>
      <c r="BA65" s="1825"/>
      <c r="BB65" s="1825"/>
      <c r="BC65" s="1825"/>
      <c r="BD65" s="1825"/>
      <c r="BE65" s="1825"/>
      <c r="BF65" s="1825"/>
      <c r="BG65" s="1638"/>
    </row>
    <row customHeight="1" ht="12">
      <c r="A66" s="1169" t="s">
        <v>1027</v>
      </c>
      <c r="B66" s="1169"/>
      <c r="C66" s="1169"/>
      <c r="D66" s="1163"/>
      <c r="E66" s="1173"/>
      <c r="F66" s="2559"/>
      <c r="G66" s="1193"/>
      <c r="H66" s="1193"/>
      <c r="I66" s="2557" t="s">
        <v>1058</v>
      </c>
      <c r="J66" s="2557"/>
      <c r="K66" s="2557"/>
      <c r="L66" s="1176"/>
      <c r="M66" s="1176"/>
      <c r="N66" s="1177"/>
      <c r="O66" s="1177"/>
      <c r="P66" s="1177"/>
      <c r="Q66" s="1177"/>
      <c r="R66" s="1177"/>
      <c r="S66" s="1177"/>
      <c r="T66" s="1177"/>
      <c r="U66" s="1177"/>
      <c r="V66" s="1177"/>
      <c r="W66" s="1177"/>
      <c r="X66" s="1177"/>
      <c r="Y66" s="1177"/>
      <c r="Z66" s="1177"/>
      <c r="AA66" s="1177"/>
      <c r="AB66" s="1177"/>
      <c r="AC66" s="1177"/>
      <c r="AD66" s="1177"/>
      <c r="AE66" s="1177"/>
      <c r="AF66" s="1177"/>
      <c r="AG66" s="1176"/>
      <c r="AH66" s="1176"/>
      <c r="AI66" s="1177"/>
      <c r="AJ66" s="1176"/>
      <c r="AK66" s="1177"/>
      <c r="AL66" s="1988"/>
      <c r="AM66" s="1825"/>
      <c r="AN66" s="1825"/>
      <c r="AO66" s="1825"/>
      <c r="AP66" s="1825"/>
      <c r="AQ66" s="1825"/>
      <c r="AR66" s="1825"/>
      <c r="AS66" s="1825"/>
      <c r="AT66" s="1825"/>
      <c r="AU66" s="1825"/>
      <c r="AV66" s="1825"/>
      <c r="AW66" s="1825"/>
      <c r="AX66" s="1825"/>
      <c r="AY66" s="1825"/>
      <c r="AZ66" s="1825"/>
      <c r="BA66" s="1825"/>
      <c r="BB66" s="1825"/>
      <c r="BC66" s="1825"/>
      <c r="BD66" s="1825"/>
      <c r="BE66" s="1825"/>
      <c r="BF66" s="1825"/>
      <c r="BG66" s="1638"/>
    </row>
    <row customHeight="1" ht="0.75">
      <c r="A67" s="1169" t="s">
        <v>1027</v>
      </c>
      <c r="B67" s="1169"/>
      <c r="C67" s="1169"/>
      <c r="D67" s="1163"/>
      <c r="E67" s="1173"/>
      <c r="F67" s="2558">
        <v>2026</v>
      </c>
      <c r="G67" s="2537"/>
      <c r="H67" s="2562" t="s">
        <v>377</v>
      </c>
      <c r="I67" s="2563"/>
      <c r="J67" s="2564"/>
      <c r="K67" s="2564"/>
      <c r="L67" s="2556"/>
      <c r="M67" s="2290"/>
      <c r="N67" s="2036"/>
      <c r="O67" s="2035"/>
      <c r="P67" s="2036"/>
      <c r="Q67" s="2036"/>
      <c r="R67" s="2036"/>
      <c r="S67" s="2036"/>
      <c r="T67" s="2036"/>
      <c r="U67" s="2036"/>
      <c r="V67" s="2036"/>
      <c r="W67" s="2036"/>
      <c r="X67" s="2036"/>
      <c r="Y67" s="2036"/>
      <c r="Z67" s="2036"/>
      <c r="AA67" s="2036"/>
      <c r="AB67" s="2036"/>
      <c r="AC67" s="2036"/>
      <c r="AD67" s="2036"/>
      <c r="AE67" s="2036"/>
      <c r="AF67" s="2560"/>
      <c r="AG67" s="2556"/>
      <c r="AH67" s="2556"/>
      <c r="AI67" s="2560"/>
      <c r="AJ67" s="2556"/>
      <c r="AK67" s="2556"/>
      <c r="AL67" s="1988"/>
      <c r="AM67" s="1825"/>
      <c r="AN67" s="1825"/>
      <c r="AO67" s="1825"/>
      <c r="AP67" s="1825"/>
      <c r="AQ67" s="1825"/>
      <c r="AR67" s="1825"/>
      <c r="AS67" s="1825"/>
      <c r="AT67" s="1825"/>
      <c r="AU67" s="1825"/>
      <c r="AV67" s="1825"/>
      <c r="AW67" s="1825"/>
      <c r="AX67" s="1825"/>
      <c r="AY67" s="1825"/>
      <c r="AZ67" s="1825"/>
      <c r="BA67" s="1825"/>
      <c r="BB67" s="1825"/>
      <c r="BC67" s="1825"/>
      <c r="BD67" s="1825"/>
      <c r="BE67" s="1825"/>
      <c r="BF67" s="1825"/>
      <c r="BG67" s="1638"/>
    </row>
    <row customHeight="1" ht="0.75">
      <c r="A68" s="1169" t="s">
        <v>1027</v>
      </c>
      <c r="B68" s="1169"/>
      <c r="C68" s="1169"/>
      <c r="D68" s="1163"/>
      <c r="E68" s="1173"/>
      <c r="F68" s="2558"/>
      <c r="G68" s="2537"/>
      <c r="H68" s="2562"/>
      <c r="I68" s="2563"/>
      <c r="J68" s="2564"/>
      <c r="K68" s="2564"/>
      <c r="L68" s="2556"/>
      <c r="M68" s="2290"/>
      <c r="N68" s="2565"/>
      <c r="O68" s="2566"/>
      <c r="P68" s="2610"/>
      <c r="Q68" s="2561"/>
      <c r="R68" s="2561"/>
      <c r="S68" s="2561"/>
      <c r="T68" s="2561"/>
      <c r="U68" s="2561"/>
      <c r="V68" s="2561"/>
      <c r="W68" s="2561"/>
      <c r="X68" s="2561"/>
      <c r="Y68" s="2561"/>
      <c r="Z68" s="2037"/>
      <c r="AA68" s="2038"/>
      <c r="AB68" s="2038"/>
      <c r="AC68" s="2039"/>
      <c r="AD68" s="2039"/>
      <c r="AE68" s="2040"/>
      <c r="AF68" s="2560"/>
      <c r="AG68" s="2556"/>
      <c r="AH68" s="2556"/>
      <c r="AI68" s="2560"/>
      <c r="AJ68" s="2556"/>
      <c r="AK68" s="2556"/>
      <c r="AL68" s="1988"/>
      <c r="AM68" s="1825"/>
      <c r="AN68" s="1825"/>
      <c r="AO68" s="1825"/>
      <c r="AP68" s="1825"/>
      <c r="AQ68" s="1825"/>
      <c r="AR68" s="1825"/>
      <c r="AS68" s="1825"/>
      <c r="AT68" s="1825"/>
      <c r="AU68" s="1825"/>
      <c r="AV68" s="1825"/>
      <c r="AW68" s="1825"/>
      <c r="AX68" s="1825"/>
      <c r="AY68" s="1825"/>
      <c r="AZ68" s="1825"/>
      <c r="BA68" s="1825"/>
      <c r="BB68" s="1825"/>
      <c r="BC68" s="1825"/>
      <c r="BD68" s="1825"/>
      <c r="BE68" s="1825"/>
      <c r="BF68" s="1825"/>
      <c r="BG68" s="1638"/>
    </row>
    <row customHeight="1" ht="0.75">
      <c r="A69" s="1169" t="s">
        <v>1027</v>
      </c>
      <c r="B69" s="1169"/>
      <c r="C69" s="1169"/>
      <c r="D69" s="1163"/>
      <c r="E69" s="1173"/>
      <c r="F69" s="2558"/>
      <c r="G69" s="2537"/>
      <c r="H69" s="2562"/>
      <c r="I69" s="2563"/>
      <c r="J69" s="2564"/>
      <c r="K69" s="2564"/>
      <c r="L69" s="2556"/>
      <c r="M69" s="2290"/>
      <c r="N69" s="2565"/>
      <c r="O69" s="2566"/>
      <c r="P69" s="2611"/>
      <c r="Q69" s="2561"/>
      <c r="R69" s="2561"/>
      <c r="S69" s="2561"/>
      <c r="T69" s="2561"/>
      <c r="U69" s="2561"/>
      <c r="V69" s="2561"/>
      <c r="W69" s="2561"/>
      <c r="X69" s="2561"/>
      <c r="Y69" s="2561"/>
      <c r="Z69" s="2041"/>
      <c r="AA69" s="2042"/>
      <c r="AB69" s="2043"/>
      <c r="AC69" s="2044"/>
      <c r="AD69" s="2043"/>
      <c r="AE69" s="2044"/>
      <c r="AF69" s="2560"/>
      <c r="AG69" s="2556"/>
      <c r="AH69" s="2556"/>
      <c r="AI69" s="2560"/>
      <c r="AJ69" s="2556"/>
      <c r="AK69" s="2556"/>
      <c r="AL69" s="1988"/>
      <c r="AM69" s="1825"/>
      <c r="AN69" s="1825"/>
      <c r="AO69" s="1825"/>
      <c r="AP69" s="1825"/>
      <c r="AQ69" s="1825"/>
      <c r="AR69" s="1825"/>
      <c r="AS69" s="1825"/>
      <c r="AT69" s="1825"/>
      <c r="AU69" s="1825"/>
      <c r="AV69" s="1825"/>
      <c r="AW69" s="1825"/>
      <c r="AX69" s="1825"/>
      <c r="AY69" s="1825"/>
      <c r="AZ69" s="1825"/>
      <c r="BA69" s="1825"/>
      <c r="BB69" s="1825"/>
      <c r="BC69" s="1825"/>
      <c r="BD69" s="1825"/>
      <c r="BE69" s="1825"/>
      <c r="BF69" s="1825"/>
      <c r="BG69" s="1638"/>
    </row>
    <row customHeight="1" ht="0.75">
      <c r="A70" s="1169" t="s">
        <v>1027</v>
      </c>
      <c r="B70" s="1169"/>
      <c r="C70" s="1169"/>
      <c r="D70" s="1163"/>
      <c r="E70" s="1173"/>
      <c r="F70" s="2558"/>
      <c r="G70" s="2537"/>
      <c r="H70" s="2562"/>
      <c r="I70" s="2563"/>
      <c r="J70" s="2564"/>
      <c r="K70" s="2564"/>
      <c r="L70" s="2556"/>
      <c r="M70" s="2290"/>
      <c r="N70" s="2565"/>
      <c r="O70" s="2566"/>
      <c r="P70" s="2612"/>
      <c r="Q70" s="2561"/>
      <c r="R70" s="2561"/>
      <c r="S70" s="2561"/>
      <c r="T70" s="2561"/>
      <c r="U70" s="2561"/>
      <c r="V70" s="2561"/>
      <c r="W70" s="2561"/>
      <c r="X70" s="2561"/>
      <c r="Y70" s="2561"/>
      <c r="Z70" s="2037"/>
      <c r="AA70" s="2038"/>
      <c r="AB70" s="2045"/>
      <c r="AC70" s="2039"/>
      <c r="AD70" s="2039"/>
      <c r="AE70" s="2046"/>
      <c r="AF70" s="2560"/>
      <c r="AG70" s="2556"/>
      <c r="AH70" s="2556"/>
      <c r="AI70" s="2560"/>
      <c r="AJ70" s="2556"/>
      <c r="AK70" s="2556"/>
      <c r="AL70" s="1988"/>
      <c r="AM70" s="1825"/>
      <c r="AN70" s="1825"/>
      <c r="AO70" s="1825"/>
      <c r="AP70" s="1825"/>
      <c r="AQ70" s="1825"/>
      <c r="AR70" s="1825"/>
      <c r="AS70" s="1825"/>
      <c r="AT70" s="1825"/>
      <c r="AU70" s="1825"/>
      <c r="AV70" s="1825"/>
      <c r="AW70" s="1825"/>
      <c r="AX70" s="1825"/>
      <c r="AY70" s="1825"/>
      <c r="AZ70" s="1825"/>
      <c r="BA70" s="1825"/>
      <c r="BB70" s="1825"/>
      <c r="BC70" s="1825"/>
      <c r="BD70" s="1825"/>
      <c r="BE70" s="1825"/>
      <c r="BF70" s="1825"/>
      <c r="BG70" s="1638"/>
    </row>
    <row customHeight="1" ht="0.75">
      <c r="A71" s="1169" t="s">
        <v>1027</v>
      </c>
      <c r="B71" s="1169"/>
      <c r="C71" s="1169"/>
      <c r="D71" s="1163"/>
      <c r="E71" s="1173"/>
      <c r="F71" s="2558"/>
      <c r="G71" s="2537"/>
      <c r="H71" s="2562"/>
      <c r="I71" s="2563"/>
      <c r="J71" s="2564"/>
      <c r="K71" s="2564"/>
      <c r="L71" s="2556"/>
      <c r="M71" s="2290"/>
      <c r="N71" s="2038"/>
      <c r="O71" s="2038"/>
      <c r="P71" s="2045"/>
      <c r="Q71" s="2038"/>
      <c r="R71" s="2038"/>
      <c r="S71" s="2038"/>
      <c r="T71" s="2038"/>
      <c r="U71" s="2038"/>
      <c r="V71" s="2038"/>
      <c r="W71" s="2038"/>
      <c r="X71" s="2038"/>
      <c r="Y71" s="2038"/>
      <c r="Z71" s="2038"/>
      <c r="AA71" s="2038"/>
      <c r="AB71" s="2038"/>
      <c r="AC71" s="2038"/>
      <c r="AD71" s="2038"/>
      <c r="AE71" s="2047"/>
      <c r="AF71" s="2560"/>
      <c r="AG71" s="2556"/>
      <c r="AH71" s="2556"/>
      <c r="AI71" s="2560"/>
      <c r="AJ71" s="2556"/>
      <c r="AK71" s="2556"/>
      <c r="AL71" s="1988"/>
      <c r="AM71" s="1825"/>
      <c r="AN71" s="1825"/>
      <c r="AO71" s="1825"/>
      <c r="AP71" s="1825"/>
      <c r="AQ71" s="1825"/>
      <c r="AR71" s="1825"/>
      <c r="AS71" s="1825"/>
      <c r="AT71" s="1825"/>
      <c r="AU71" s="1825"/>
      <c r="AV71" s="1825"/>
      <c r="AW71" s="1825"/>
      <c r="AX71" s="1825"/>
      <c r="AY71" s="1825"/>
      <c r="AZ71" s="1825"/>
      <c r="BA71" s="1825"/>
      <c r="BB71" s="1825"/>
      <c r="BC71" s="1825"/>
      <c r="BD71" s="1825"/>
      <c r="BE71" s="1825"/>
      <c r="BF71" s="1825"/>
      <c r="BG71" s="1638"/>
    </row>
    <row customHeight="1" ht="12">
      <c r="A72" s="1169" t="s">
        <v>1027</v>
      </c>
      <c r="B72" s="1169"/>
      <c r="C72" s="1169"/>
      <c r="D72" s="1163"/>
      <c r="E72" s="1173"/>
      <c r="F72" s="2559"/>
      <c r="G72" s="1193"/>
      <c r="H72" s="1193"/>
      <c r="I72" s="2557" t="s">
        <v>1058</v>
      </c>
      <c r="J72" s="2557"/>
      <c r="K72" s="2557"/>
      <c r="L72" s="1176"/>
      <c r="M72" s="1176"/>
      <c r="N72" s="1177"/>
      <c r="O72" s="1177"/>
      <c r="P72" s="1177"/>
      <c r="Q72" s="1177"/>
      <c r="R72" s="1177"/>
      <c r="S72" s="1177"/>
      <c r="T72" s="1177"/>
      <c r="U72" s="1177"/>
      <c r="V72" s="1177"/>
      <c r="W72" s="1177"/>
      <c r="X72" s="1177"/>
      <c r="Y72" s="1177"/>
      <c r="Z72" s="1177"/>
      <c r="AA72" s="1177"/>
      <c r="AB72" s="1177"/>
      <c r="AC72" s="1177"/>
      <c r="AD72" s="1177"/>
      <c r="AE72" s="1177"/>
      <c r="AF72" s="1177"/>
      <c r="AG72" s="1176"/>
      <c r="AH72" s="1176"/>
      <c r="AI72" s="1177"/>
      <c r="AJ72" s="1176"/>
      <c r="AK72" s="1177"/>
      <c r="AL72" s="1988"/>
      <c r="AM72" s="1825"/>
      <c r="AN72" s="1825"/>
      <c r="AO72" s="1825"/>
      <c r="AP72" s="1825"/>
      <c r="AQ72" s="1825"/>
      <c r="AR72" s="1825"/>
      <c r="AS72" s="1825"/>
      <c r="AT72" s="1825"/>
      <c r="AU72" s="1825"/>
      <c r="AV72" s="1825"/>
      <c r="AW72" s="1825"/>
      <c r="AX72" s="1825"/>
      <c r="AY72" s="1825"/>
      <c r="AZ72" s="1825"/>
      <c r="BA72" s="1825"/>
      <c r="BB72" s="1825"/>
      <c r="BC72" s="1825"/>
      <c r="BD72" s="1825"/>
      <c r="BE72" s="1825"/>
      <c r="BF72" s="1825"/>
      <c r="BG72" s="1638"/>
    </row>
    <row customHeight="1" ht="0.75">
      <c r="A73" s="1169" t="s">
        <v>1027</v>
      </c>
      <c r="B73" s="1169"/>
      <c r="C73" s="1169"/>
      <c r="D73" s="1163"/>
      <c r="E73" s="1173"/>
      <c r="F73" s="2558">
        <v>2027</v>
      </c>
      <c r="G73" s="2537"/>
      <c r="H73" s="2562" t="s">
        <v>377</v>
      </c>
      <c r="I73" s="2563"/>
      <c r="J73" s="2564"/>
      <c r="K73" s="2564"/>
      <c r="L73" s="2556"/>
      <c r="M73" s="2290"/>
      <c r="N73" s="2036"/>
      <c r="O73" s="2035"/>
      <c r="P73" s="2036"/>
      <c r="Q73" s="2036"/>
      <c r="R73" s="2036"/>
      <c r="S73" s="2036"/>
      <c r="T73" s="2036"/>
      <c r="U73" s="2036"/>
      <c r="V73" s="2036"/>
      <c r="W73" s="2036"/>
      <c r="X73" s="2036"/>
      <c r="Y73" s="2036"/>
      <c r="Z73" s="2036"/>
      <c r="AA73" s="2036"/>
      <c r="AB73" s="2036"/>
      <c r="AC73" s="2036"/>
      <c r="AD73" s="2036"/>
      <c r="AE73" s="2036"/>
      <c r="AF73" s="2560"/>
      <c r="AG73" s="2556"/>
      <c r="AH73" s="2556"/>
      <c r="AI73" s="2560"/>
      <c r="AJ73" s="2556"/>
      <c r="AK73" s="2556"/>
      <c r="AL73" s="1988"/>
      <c r="AM73" s="1825"/>
      <c r="AN73" s="1825"/>
      <c r="AO73" s="1825"/>
      <c r="AP73" s="1825"/>
      <c r="AQ73" s="1825"/>
      <c r="AR73" s="1825"/>
      <c r="AS73" s="1825"/>
      <c r="AT73" s="1825"/>
      <c r="AU73" s="1825"/>
      <c r="AV73" s="1825"/>
      <c r="AW73" s="1825"/>
      <c r="AX73" s="1825"/>
      <c r="AY73" s="1825"/>
      <c r="AZ73" s="1825"/>
      <c r="BA73" s="1825"/>
      <c r="BB73" s="1825"/>
      <c r="BC73" s="1825"/>
      <c r="BD73" s="1825"/>
      <c r="BE73" s="1825"/>
      <c r="BF73" s="1825"/>
      <c r="BG73" s="1638"/>
    </row>
    <row customHeight="1" ht="0.75">
      <c r="A74" s="1169" t="s">
        <v>1027</v>
      </c>
      <c r="B74" s="1169"/>
      <c r="C74" s="1169"/>
      <c r="D74" s="1163"/>
      <c r="E74" s="1173"/>
      <c r="F74" s="2558"/>
      <c r="G74" s="2537"/>
      <c r="H74" s="2562"/>
      <c r="I74" s="2563"/>
      <c r="J74" s="2564"/>
      <c r="K74" s="2564"/>
      <c r="L74" s="2556"/>
      <c r="M74" s="2290"/>
      <c r="N74" s="2565"/>
      <c r="O74" s="2566"/>
      <c r="P74" s="2610"/>
      <c r="Q74" s="2561"/>
      <c r="R74" s="2561"/>
      <c r="S74" s="2561"/>
      <c r="T74" s="2561"/>
      <c r="U74" s="2561"/>
      <c r="V74" s="2561"/>
      <c r="W74" s="2561"/>
      <c r="X74" s="2561"/>
      <c r="Y74" s="2561"/>
      <c r="Z74" s="2037"/>
      <c r="AA74" s="2038"/>
      <c r="AB74" s="2038"/>
      <c r="AC74" s="2039"/>
      <c r="AD74" s="2039"/>
      <c r="AE74" s="2040"/>
      <c r="AF74" s="2560"/>
      <c r="AG74" s="2556"/>
      <c r="AH74" s="2556"/>
      <c r="AI74" s="2560"/>
      <c r="AJ74" s="2556"/>
      <c r="AK74" s="2556"/>
      <c r="AL74" s="1988"/>
      <c r="AM74" s="1825"/>
      <c r="AN74" s="1825"/>
      <c r="AO74" s="1825"/>
      <c r="AP74" s="1825"/>
      <c r="AQ74" s="1825"/>
      <c r="AR74" s="1825"/>
      <c r="AS74" s="1825"/>
      <c r="AT74" s="1825"/>
      <c r="AU74" s="1825"/>
      <c r="AV74" s="1825"/>
      <c r="AW74" s="1825"/>
      <c r="AX74" s="1825"/>
      <c r="AY74" s="1825"/>
      <c r="AZ74" s="1825"/>
      <c r="BA74" s="1825"/>
      <c r="BB74" s="1825"/>
      <c r="BC74" s="1825"/>
      <c r="BD74" s="1825"/>
      <c r="BE74" s="1825"/>
      <c r="BF74" s="1825"/>
      <c r="BG74" s="1638"/>
    </row>
    <row customHeight="1" ht="0.75">
      <c r="A75" s="1169" t="s">
        <v>1027</v>
      </c>
      <c r="B75" s="1169"/>
      <c r="C75" s="1169"/>
      <c r="D75" s="1163"/>
      <c r="E75" s="1173"/>
      <c r="F75" s="2558"/>
      <c r="G75" s="2537"/>
      <c r="H75" s="2562"/>
      <c r="I75" s="2563"/>
      <c r="J75" s="2564"/>
      <c r="K75" s="2564"/>
      <c r="L75" s="2556"/>
      <c r="M75" s="2290"/>
      <c r="N75" s="2565"/>
      <c r="O75" s="2566"/>
      <c r="P75" s="2611"/>
      <c r="Q75" s="2561"/>
      <c r="R75" s="2561"/>
      <c r="S75" s="2561"/>
      <c r="T75" s="2561"/>
      <c r="U75" s="2561"/>
      <c r="V75" s="2561"/>
      <c r="W75" s="2561"/>
      <c r="X75" s="2561"/>
      <c r="Y75" s="2561"/>
      <c r="Z75" s="2041"/>
      <c r="AA75" s="2042"/>
      <c r="AB75" s="2043"/>
      <c r="AC75" s="2044"/>
      <c r="AD75" s="2043"/>
      <c r="AE75" s="2044"/>
      <c r="AF75" s="2560"/>
      <c r="AG75" s="2556"/>
      <c r="AH75" s="2556"/>
      <c r="AI75" s="2560"/>
      <c r="AJ75" s="2556"/>
      <c r="AK75" s="2556"/>
      <c r="AL75" s="1988"/>
      <c r="AM75" s="1825"/>
      <c r="AN75" s="1825"/>
      <c r="AO75" s="1825"/>
      <c r="AP75" s="1825"/>
      <c r="AQ75" s="1825"/>
      <c r="AR75" s="1825"/>
      <c r="AS75" s="1825"/>
      <c r="AT75" s="1825"/>
      <c r="AU75" s="1825"/>
      <c r="AV75" s="1825"/>
      <c r="AW75" s="1825"/>
      <c r="AX75" s="1825"/>
      <c r="AY75" s="1825"/>
      <c r="AZ75" s="1825"/>
      <c r="BA75" s="1825"/>
      <c r="BB75" s="1825"/>
      <c r="BC75" s="1825"/>
      <c r="BD75" s="1825"/>
      <c r="BE75" s="1825"/>
      <c r="BF75" s="1825"/>
      <c r="BG75" s="1638"/>
    </row>
    <row customHeight="1" ht="0.75">
      <c r="A76" s="1169" t="s">
        <v>1027</v>
      </c>
      <c r="B76" s="1169"/>
      <c r="C76" s="1169"/>
      <c r="D76" s="1163"/>
      <c r="E76" s="1173"/>
      <c r="F76" s="2558"/>
      <c r="G76" s="2537"/>
      <c r="H76" s="2562"/>
      <c r="I76" s="2563"/>
      <c r="J76" s="2564"/>
      <c r="K76" s="2564"/>
      <c r="L76" s="2556"/>
      <c r="M76" s="2290"/>
      <c r="N76" s="2565"/>
      <c r="O76" s="2566"/>
      <c r="P76" s="2612"/>
      <c r="Q76" s="2561"/>
      <c r="R76" s="2561"/>
      <c r="S76" s="2561"/>
      <c r="T76" s="2561"/>
      <c r="U76" s="2561"/>
      <c r="V76" s="2561"/>
      <c r="W76" s="2561"/>
      <c r="X76" s="2561"/>
      <c r="Y76" s="2561"/>
      <c r="Z76" s="2037"/>
      <c r="AA76" s="2038"/>
      <c r="AB76" s="2045"/>
      <c r="AC76" s="2039"/>
      <c r="AD76" s="2039"/>
      <c r="AE76" s="2046"/>
      <c r="AF76" s="2560"/>
      <c r="AG76" s="2556"/>
      <c r="AH76" s="2556"/>
      <c r="AI76" s="2560"/>
      <c r="AJ76" s="2556"/>
      <c r="AK76" s="2556"/>
      <c r="AL76" s="1988"/>
      <c r="AM76" s="1825"/>
      <c r="AN76" s="1825"/>
      <c r="AO76" s="1825"/>
      <c r="AP76" s="1825"/>
      <c r="AQ76" s="1825"/>
      <c r="AR76" s="1825"/>
      <c r="AS76" s="1825"/>
      <c r="AT76" s="1825"/>
      <c r="AU76" s="1825"/>
      <c r="AV76" s="1825"/>
      <c r="AW76" s="1825"/>
      <c r="AX76" s="1825"/>
      <c r="AY76" s="1825"/>
      <c r="AZ76" s="1825"/>
      <c r="BA76" s="1825"/>
      <c r="BB76" s="1825"/>
      <c r="BC76" s="1825"/>
      <c r="BD76" s="1825"/>
      <c r="BE76" s="1825"/>
      <c r="BF76" s="1825"/>
      <c r="BG76" s="1638"/>
    </row>
    <row customHeight="1" ht="0.75">
      <c r="A77" s="1169" t="s">
        <v>1027</v>
      </c>
      <c r="B77" s="1169"/>
      <c r="C77" s="1169"/>
      <c r="D77" s="1163"/>
      <c r="E77" s="1173"/>
      <c r="F77" s="2558"/>
      <c r="G77" s="2537"/>
      <c r="H77" s="2562"/>
      <c r="I77" s="2563"/>
      <c r="J77" s="2564"/>
      <c r="K77" s="2564"/>
      <c r="L77" s="2556"/>
      <c r="M77" s="2290"/>
      <c r="N77" s="2038"/>
      <c r="O77" s="2038"/>
      <c r="P77" s="2045"/>
      <c r="Q77" s="2038"/>
      <c r="R77" s="2038"/>
      <c r="S77" s="2038"/>
      <c r="T77" s="2038"/>
      <c r="U77" s="2038"/>
      <c r="V77" s="2038"/>
      <c r="W77" s="2038"/>
      <c r="X77" s="2038"/>
      <c r="Y77" s="2038"/>
      <c r="Z77" s="2038"/>
      <c r="AA77" s="2038"/>
      <c r="AB77" s="2038"/>
      <c r="AC77" s="2038"/>
      <c r="AD77" s="2038"/>
      <c r="AE77" s="2047"/>
      <c r="AF77" s="2560"/>
      <c r="AG77" s="2556"/>
      <c r="AH77" s="2556"/>
      <c r="AI77" s="2560"/>
      <c r="AJ77" s="2556"/>
      <c r="AK77" s="2556"/>
      <c r="AL77" s="1988"/>
      <c r="AM77" s="1825"/>
      <c r="AN77" s="1825"/>
      <c r="AO77" s="1825"/>
      <c r="AP77" s="1825"/>
      <c r="AQ77" s="1825"/>
      <c r="AR77" s="1825"/>
      <c r="AS77" s="1825"/>
      <c r="AT77" s="1825"/>
      <c r="AU77" s="1825"/>
      <c r="AV77" s="1825"/>
      <c r="AW77" s="1825"/>
      <c r="AX77" s="1825"/>
      <c r="AY77" s="1825"/>
      <c r="AZ77" s="1825"/>
      <c r="BA77" s="1825"/>
      <c r="BB77" s="1825"/>
      <c r="BC77" s="1825"/>
      <c r="BD77" s="1825"/>
      <c r="BE77" s="1825"/>
      <c r="BF77" s="1825"/>
      <c r="BG77" s="1638"/>
    </row>
    <row customHeight="1" ht="12">
      <c r="A78" s="1169" t="s">
        <v>1027</v>
      </c>
      <c r="B78" s="1169"/>
      <c r="C78" s="1169"/>
      <c r="D78" s="1163"/>
      <c r="E78" s="1173"/>
      <c r="F78" s="2559"/>
      <c r="G78" s="1193"/>
      <c r="H78" s="1193"/>
      <c r="I78" s="2557" t="s">
        <v>1058</v>
      </c>
      <c r="J78" s="2557"/>
      <c r="K78" s="2557"/>
      <c r="L78" s="1176"/>
      <c r="M78" s="1176"/>
      <c r="N78" s="1177"/>
      <c r="O78" s="1177"/>
      <c r="P78" s="1177"/>
      <c r="Q78" s="1177"/>
      <c r="R78" s="1177"/>
      <c r="S78" s="1177"/>
      <c r="T78" s="1177"/>
      <c r="U78" s="1177"/>
      <c r="V78" s="1177"/>
      <c r="W78" s="1177"/>
      <c r="X78" s="1177"/>
      <c r="Y78" s="1177"/>
      <c r="Z78" s="1177"/>
      <c r="AA78" s="1177"/>
      <c r="AB78" s="1177"/>
      <c r="AC78" s="1177"/>
      <c r="AD78" s="1177"/>
      <c r="AE78" s="1177"/>
      <c r="AF78" s="1177"/>
      <c r="AG78" s="1176"/>
      <c r="AH78" s="1176"/>
      <c r="AI78" s="1177"/>
      <c r="AJ78" s="1176"/>
      <c r="AK78" s="1177"/>
      <c r="AL78" s="1988"/>
      <c r="AM78" s="1825"/>
      <c r="AN78" s="1825"/>
      <c r="AO78" s="1825"/>
      <c r="AP78" s="1825"/>
      <c r="AQ78" s="1825"/>
      <c r="AR78" s="1825"/>
      <c r="AS78" s="1825"/>
      <c r="AT78" s="1825"/>
      <c r="AU78" s="1825"/>
      <c r="AV78" s="1825"/>
      <c r="AW78" s="1825"/>
      <c r="AX78" s="1825"/>
      <c r="AY78" s="1825"/>
      <c r="AZ78" s="1825"/>
      <c r="BA78" s="1825"/>
      <c r="BB78" s="1825"/>
      <c r="BC78" s="1825"/>
      <c r="BD78" s="1825"/>
      <c r="BE78" s="1825"/>
      <c r="BF78" s="1825"/>
      <c r="BG78" s="1638"/>
    </row>
    <row customHeight="1" ht="0.75">
      <c r="A79" s="1169" t="s">
        <v>1027</v>
      </c>
      <c r="B79" s="1169"/>
      <c r="C79" s="1169"/>
      <c r="D79" s="1163"/>
      <c r="E79" s="1173"/>
      <c r="F79" s="2558">
        <v>2028</v>
      </c>
      <c r="G79" s="2537"/>
      <c r="H79" s="2562" t="s">
        <v>377</v>
      </c>
      <c r="I79" s="2563"/>
      <c r="J79" s="2564"/>
      <c r="K79" s="2564"/>
      <c r="L79" s="2556"/>
      <c r="M79" s="2290"/>
      <c r="N79" s="2036"/>
      <c r="O79" s="2035"/>
      <c r="P79" s="2036"/>
      <c r="Q79" s="2036"/>
      <c r="R79" s="2036"/>
      <c r="S79" s="2036"/>
      <c r="T79" s="2036"/>
      <c r="U79" s="2036"/>
      <c r="V79" s="2036"/>
      <c r="W79" s="2036"/>
      <c r="X79" s="2036"/>
      <c r="Y79" s="2036"/>
      <c r="Z79" s="2036"/>
      <c r="AA79" s="2036"/>
      <c r="AB79" s="2036"/>
      <c r="AC79" s="2036"/>
      <c r="AD79" s="2036"/>
      <c r="AE79" s="2036"/>
      <c r="AF79" s="2560"/>
      <c r="AG79" s="2556"/>
      <c r="AH79" s="2556"/>
      <c r="AI79" s="2560"/>
      <c r="AJ79" s="2556"/>
      <c r="AK79" s="2556"/>
      <c r="AL79" s="1988"/>
      <c r="AM79" s="1825"/>
      <c r="AN79" s="1825"/>
      <c r="AO79" s="1825"/>
      <c r="AP79" s="1825"/>
      <c r="AQ79" s="1825"/>
      <c r="AR79" s="1825"/>
      <c r="AS79" s="1825"/>
      <c r="AT79" s="1825"/>
      <c r="AU79" s="1825"/>
      <c r="AV79" s="1825"/>
      <c r="AW79" s="1825"/>
      <c r="AX79" s="1825"/>
      <c r="AY79" s="1825"/>
      <c r="AZ79" s="1825"/>
      <c r="BA79" s="1825"/>
      <c r="BB79" s="1825"/>
      <c r="BC79" s="1825"/>
      <c r="BD79" s="1825"/>
      <c r="BE79" s="1825"/>
      <c r="BF79" s="1825"/>
      <c r="BG79" s="1638"/>
    </row>
    <row customHeight="1" ht="0.75">
      <c r="A80" s="1169" t="s">
        <v>1027</v>
      </c>
      <c r="B80" s="1169"/>
      <c r="C80" s="1169"/>
      <c r="D80" s="1163"/>
      <c r="E80" s="1173"/>
      <c r="F80" s="2558"/>
      <c r="G80" s="2537"/>
      <c r="H80" s="2562"/>
      <c r="I80" s="2563"/>
      <c r="J80" s="2564"/>
      <c r="K80" s="2564"/>
      <c r="L80" s="2556"/>
      <c r="M80" s="2290"/>
      <c r="N80" s="2565"/>
      <c r="O80" s="2566"/>
      <c r="P80" s="2610"/>
      <c r="Q80" s="2561"/>
      <c r="R80" s="2561"/>
      <c r="S80" s="2561"/>
      <c r="T80" s="2561"/>
      <c r="U80" s="2561"/>
      <c r="V80" s="2561"/>
      <c r="W80" s="2561"/>
      <c r="X80" s="2561"/>
      <c r="Y80" s="2561"/>
      <c r="Z80" s="2037"/>
      <c r="AA80" s="2038"/>
      <c r="AB80" s="2038"/>
      <c r="AC80" s="2039"/>
      <c r="AD80" s="2039"/>
      <c r="AE80" s="2040"/>
      <c r="AF80" s="2560"/>
      <c r="AG80" s="2556"/>
      <c r="AH80" s="2556"/>
      <c r="AI80" s="2560"/>
      <c r="AJ80" s="2556"/>
      <c r="AK80" s="2556"/>
      <c r="AL80" s="1988"/>
      <c r="AM80" s="1825"/>
      <c r="AN80" s="1825"/>
      <c r="AO80" s="1825"/>
      <c r="AP80" s="1825"/>
      <c r="AQ80" s="1825"/>
      <c r="AR80" s="1825"/>
      <c r="AS80" s="1825"/>
      <c r="AT80" s="1825"/>
      <c r="AU80" s="1825"/>
      <c r="AV80" s="1825"/>
      <c r="AW80" s="1825"/>
      <c r="AX80" s="1825"/>
      <c r="AY80" s="1825"/>
      <c r="AZ80" s="1825"/>
      <c r="BA80" s="1825"/>
      <c r="BB80" s="1825"/>
      <c r="BC80" s="1825"/>
      <c r="BD80" s="1825"/>
      <c r="BE80" s="1825"/>
      <c r="BF80" s="1825"/>
      <c r="BG80" s="1638"/>
    </row>
    <row customHeight="1" ht="0.75">
      <c r="A81" s="1169" t="s">
        <v>1027</v>
      </c>
      <c r="B81" s="1169"/>
      <c r="C81" s="1169"/>
      <c r="D81" s="1163"/>
      <c r="E81" s="1173"/>
      <c r="F81" s="2558"/>
      <c r="G81" s="2537"/>
      <c r="H81" s="2562"/>
      <c r="I81" s="2563"/>
      <c r="J81" s="2564"/>
      <c r="K81" s="2564"/>
      <c r="L81" s="2556"/>
      <c r="M81" s="2290"/>
      <c r="N81" s="2565"/>
      <c r="O81" s="2566"/>
      <c r="P81" s="2611"/>
      <c r="Q81" s="2561"/>
      <c r="R81" s="2561"/>
      <c r="S81" s="2561"/>
      <c r="T81" s="2561"/>
      <c r="U81" s="2561"/>
      <c r="V81" s="2561"/>
      <c r="W81" s="2561"/>
      <c r="X81" s="2561"/>
      <c r="Y81" s="2561"/>
      <c r="Z81" s="2041"/>
      <c r="AA81" s="2042"/>
      <c r="AB81" s="2043"/>
      <c r="AC81" s="2044"/>
      <c r="AD81" s="2043"/>
      <c r="AE81" s="2044"/>
      <c r="AF81" s="2560"/>
      <c r="AG81" s="2556"/>
      <c r="AH81" s="2556"/>
      <c r="AI81" s="2560"/>
      <c r="AJ81" s="2556"/>
      <c r="AK81" s="2556"/>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c r="BG81" s="1638"/>
    </row>
    <row customHeight="1" ht="0.75">
      <c r="A82" s="1169" t="s">
        <v>1027</v>
      </c>
      <c r="B82" s="1169"/>
      <c r="C82" s="1169"/>
      <c r="D82" s="1163"/>
      <c r="E82" s="1173"/>
      <c r="F82" s="2558"/>
      <c r="G82" s="2537"/>
      <c r="H82" s="2562"/>
      <c r="I82" s="2563"/>
      <c r="J82" s="2564"/>
      <c r="K82" s="2564"/>
      <c r="L82" s="2556"/>
      <c r="M82" s="2290"/>
      <c r="N82" s="2565"/>
      <c r="O82" s="2566"/>
      <c r="P82" s="2612"/>
      <c r="Q82" s="2561"/>
      <c r="R82" s="2561"/>
      <c r="S82" s="2561"/>
      <c r="T82" s="2561"/>
      <c r="U82" s="2561"/>
      <c r="V82" s="2561"/>
      <c r="W82" s="2561"/>
      <c r="X82" s="2561"/>
      <c r="Y82" s="2561"/>
      <c r="Z82" s="2037"/>
      <c r="AA82" s="2038"/>
      <c r="AB82" s="2045"/>
      <c r="AC82" s="2039"/>
      <c r="AD82" s="2039"/>
      <c r="AE82" s="204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c r="BG82" s="1638"/>
    </row>
    <row customHeight="1" ht="0.75">
      <c r="A83" s="1169" t="s">
        <v>1027</v>
      </c>
      <c r="B83" s="1169"/>
      <c r="C83" s="1169"/>
      <c r="D83" s="1163"/>
      <c r="E83" s="1173"/>
      <c r="F83" s="2558"/>
      <c r="G83" s="2537"/>
      <c r="H83" s="2562"/>
      <c r="I83" s="2563"/>
      <c r="J83" s="2564"/>
      <c r="K83" s="2564"/>
      <c r="L83" s="2556"/>
      <c r="M83" s="2290"/>
      <c r="N83" s="2038"/>
      <c r="O83" s="2038"/>
      <c r="P83" s="2045"/>
      <c r="Q83" s="2038"/>
      <c r="R83" s="2038"/>
      <c r="S83" s="2038"/>
      <c r="T83" s="2038"/>
      <c r="U83" s="2038"/>
      <c r="V83" s="2038"/>
      <c r="W83" s="2038"/>
      <c r="X83" s="2038"/>
      <c r="Y83" s="2038"/>
      <c r="Z83" s="2038"/>
      <c r="AA83" s="2038"/>
      <c r="AB83" s="2038"/>
      <c r="AC83" s="2038"/>
      <c r="AD83" s="2038"/>
      <c r="AE83" s="2047"/>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c r="BG83" s="1638"/>
    </row>
    <row customHeight="1" ht="12">
      <c r="A84" s="1169" t="s">
        <v>1027</v>
      </c>
      <c r="B84" s="1169"/>
      <c r="C84" s="1169"/>
      <c r="D84" s="1163"/>
      <c r="E84" s="1173"/>
      <c r="F84" s="2559"/>
      <c r="G84" s="1193"/>
      <c r="H84" s="1193"/>
      <c r="I84" s="2557" t="s">
        <v>1058</v>
      </c>
      <c r="J84" s="2557"/>
      <c r="K84" s="2557"/>
      <c r="L84" s="1176"/>
      <c r="M84" s="1176"/>
      <c r="N84" s="1177"/>
      <c r="O84" s="1177"/>
      <c r="P84" s="1177"/>
      <c r="Q84" s="1177"/>
      <c r="R84" s="1177"/>
      <c r="S84" s="1177"/>
      <c r="T84" s="1177"/>
      <c r="U84" s="1177"/>
      <c r="V84" s="1177"/>
      <c r="W84" s="1177"/>
      <c r="X84" s="1177"/>
      <c r="Y84" s="1177"/>
      <c r="Z84" s="1177"/>
      <c r="AA84" s="1177"/>
      <c r="AB84" s="1177"/>
      <c r="AC84" s="1177"/>
      <c r="AD84" s="1177"/>
      <c r="AE84" s="1177"/>
      <c r="AF84" s="1177"/>
      <c r="AG84" s="1176"/>
      <c r="AH84" s="1176"/>
      <c r="AI84" s="1177"/>
      <c r="AJ84" s="1176"/>
      <c r="AK84" s="1177"/>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c r="BG84" s="1638"/>
    </row>
    <row customHeight="1" ht="0.75">
      <c r="A85" s="1169" t="s">
        <v>1027</v>
      </c>
      <c r="B85" s="1169"/>
      <c r="C85" s="1169"/>
      <c r="D85" s="1163"/>
      <c r="E85" s="1173"/>
      <c r="F85" s="2558">
        <v>2029</v>
      </c>
      <c r="G85" s="2537"/>
      <c r="H85" s="2562" t="s">
        <v>377</v>
      </c>
      <c r="I85" s="2563"/>
      <c r="J85" s="2564"/>
      <c r="K85" s="2564"/>
      <c r="L85" s="2556"/>
      <c r="M85" s="2290"/>
      <c r="N85" s="2036"/>
      <c r="O85" s="2035"/>
      <c r="P85" s="2036"/>
      <c r="Q85" s="2036"/>
      <c r="R85" s="2036"/>
      <c r="S85" s="2036"/>
      <c r="T85" s="2036"/>
      <c r="U85" s="2036"/>
      <c r="V85" s="2036"/>
      <c r="W85" s="2036"/>
      <c r="X85" s="2036"/>
      <c r="Y85" s="2036"/>
      <c r="Z85" s="2036"/>
      <c r="AA85" s="2036"/>
      <c r="AB85" s="2036"/>
      <c r="AC85" s="2036"/>
      <c r="AD85" s="2036"/>
      <c r="AE85" s="203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c r="BG85" s="1638"/>
    </row>
    <row customHeight="1" ht="0.75">
      <c r="A86" s="1169" t="s">
        <v>1027</v>
      </c>
      <c r="B86" s="1169"/>
      <c r="C86" s="1169"/>
      <c r="D86" s="1163"/>
      <c r="E86" s="1173"/>
      <c r="F86" s="2558"/>
      <c r="G86" s="2537"/>
      <c r="H86" s="2562"/>
      <c r="I86" s="2563"/>
      <c r="J86" s="2564"/>
      <c r="K86" s="2564"/>
      <c r="L86" s="2556"/>
      <c r="M86" s="2290"/>
      <c r="N86" s="2565"/>
      <c r="O86" s="2566"/>
      <c r="P86" s="2610"/>
      <c r="Q86" s="2561"/>
      <c r="R86" s="2561"/>
      <c r="S86" s="2561"/>
      <c r="T86" s="2561"/>
      <c r="U86" s="2561"/>
      <c r="V86" s="2561"/>
      <c r="W86" s="2561"/>
      <c r="X86" s="2561"/>
      <c r="Y86" s="2561"/>
      <c r="Z86" s="2037"/>
      <c r="AA86" s="2038"/>
      <c r="AB86" s="2038"/>
      <c r="AC86" s="2039"/>
      <c r="AD86" s="2039"/>
      <c r="AE86" s="2040"/>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c r="BG86" s="1638"/>
    </row>
    <row customHeight="1" ht="0.75">
      <c r="A87" s="1169" t="s">
        <v>1027</v>
      </c>
      <c r="B87" s="1169"/>
      <c r="C87" s="1169"/>
      <c r="D87" s="1163"/>
      <c r="E87" s="1173"/>
      <c r="F87" s="2558"/>
      <c r="G87" s="2537"/>
      <c r="H87" s="2562"/>
      <c r="I87" s="2563"/>
      <c r="J87" s="2564"/>
      <c r="K87" s="2564"/>
      <c r="L87" s="2556"/>
      <c r="M87" s="2290"/>
      <c r="N87" s="2565"/>
      <c r="O87" s="2566"/>
      <c r="P87" s="2611"/>
      <c r="Q87" s="2561"/>
      <c r="R87" s="2561"/>
      <c r="S87" s="2561"/>
      <c r="T87" s="2561"/>
      <c r="U87" s="2561"/>
      <c r="V87" s="2561"/>
      <c r="W87" s="2561"/>
      <c r="X87" s="2561"/>
      <c r="Y87" s="2561"/>
      <c r="Z87" s="2041"/>
      <c r="AA87" s="2042"/>
      <c r="AB87" s="2043"/>
      <c r="AC87" s="2044"/>
      <c r="AD87" s="2043"/>
      <c r="AE87" s="2044"/>
      <c r="AF87" s="2560"/>
      <c r="AG87" s="2556"/>
      <c r="AH87" s="2556"/>
      <c r="AI87" s="2560"/>
      <c r="AJ87" s="2556"/>
      <c r="AK87" s="2556"/>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c r="BG87" s="1638"/>
    </row>
    <row customHeight="1" ht="0.75">
      <c r="A88" s="1169" t="s">
        <v>1027</v>
      </c>
      <c r="B88" s="1169"/>
      <c r="C88" s="1169"/>
      <c r="D88" s="1163"/>
      <c r="E88" s="1173"/>
      <c r="F88" s="2558"/>
      <c r="G88" s="2537"/>
      <c r="H88" s="2562"/>
      <c r="I88" s="2563"/>
      <c r="J88" s="2564"/>
      <c r="K88" s="2564"/>
      <c r="L88" s="2556"/>
      <c r="M88" s="2290"/>
      <c r="N88" s="2565"/>
      <c r="O88" s="2566"/>
      <c r="P88" s="2612"/>
      <c r="Q88" s="2561"/>
      <c r="R88" s="2561"/>
      <c r="S88" s="2561"/>
      <c r="T88" s="2561"/>
      <c r="U88" s="2561"/>
      <c r="V88" s="2561"/>
      <c r="W88" s="2561"/>
      <c r="X88" s="2561"/>
      <c r="Y88" s="2561"/>
      <c r="Z88" s="2037"/>
      <c r="AA88" s="2038"/>
      <c r="AB88" s="2045"/>
      <c r="AC88" s="2039"/>
      <c r="AD88" s="2039"/>
      <c r="AE88" s="2046"/>
      <c r="AF88" s="2560"/>
      <c r="AG88" s="2556"/>
      <c r="AH88" s="2556"/>
      <c r="AI88" s="2560"/>
      <c r="AJ88" s="2556"/>
      <c r="AK88" s="2556"/>
      <c r="AL88" s="1988"/>
      <c r="AM88" s="1825"/>
      <c r="AN88" s="1825"/>
      <c r="AO88" s="1825"/>
      <c r="AP88" s="1825"/>
      <c r="AQ88" s="1825"/>
      <c r="AR88" s="1825"/>
      <c r="AS88" s="1825"/>
      <c r="AT88" s="1825"/>
      <c r="AU88" s="1825"/>
      <c r="AV88" s="1825"/>
      <c r="AW88" s="1825"/>
      <c r="AX88" s="1825"/>
      <c r="AY88" s="1825"/>
      <c r="AZ88" s="1825"/>
      <c r="BA88" s="1825"/>
      <c r="BB88" s="1825"/>
      <c r="BC88" s="1825"/>
      <c r="BD88" s="1825"/>
      <c r="BE88" s="1825"/>
      <c r="BF88" s="1825"/>
      <c r="BG88" s="1638"/>
    </row>
    <row customHeight="1" ht="0.75">
      <c r="A89" s="1169" t="s">
        <v>1027</v>
      </c>
      <c r="B89" s="1169"/>
      <c r="C89" s="1169"/>
      <c r="D89" s="1163"/>
      <c r="E89" s="1173"/>
      <c r="F89" s="2558"/>
      <c r="G89" s="2537"/>
      <c r="H89" s="2562"/>
      <c r="I89" s="2563"/>
      <c r="J89" s="2564"/>
      <c r="K89" s="2564"/>
      <c r="L89" s="2556"/>
      <c r="M89" s="2290"/>
      <c r="N89" s="2038"/>
      <c r="O89" s="2038"/>
      <c r="P89" s="2045"/>
      <c r="Q89" s="2038"/>
      <c r="R89" s="2038"/>
      <c r="S89" s="2038"/>
      <c r="T89" s="2038"/>
      <c r="U89" s="2038"/>
      <c r="V89" s="2038"/>
      <c r="W89" s="2038"/>
      <c r="X89" s="2038"/>
      <c r="Y89" s="2038"/>
      <c r="Z89" s="2038"/>
      <c r="AA89" s="2038"/>
      <c r="AB89" s="2038"/>
      <c r="AC89" s="2038"/>
      <c r="AD89" s="2038"/>
      <c r="AE89" s="2047"/>
      <c r="AF89" s="2560"/>
      <c r="AG89" s="2556"/>
      <c r="AH89" s="2556"/>
      <c r="AI89" s="2560"/>
      <c r="AJ89" s="2556"/>
      <c r="AK89" s="2556"/>
      <c r="AL89" s="1988"/>
      <c r="AM89" s="1825"/>
      <c r="AN89" s="1825"/>
      <c r="AO89" s="1825"/>
      <c r="AP89" s="1825"/>
      <c r="AQ89" s="1825"/>
      <c r="AR89" s="1825"/>
      <c r="AS89" s="1825"/>
      <c r="AT89" s="1825"/>
      <c r="AU89" s="1825"/>
      <c r="AV89" s="1825"/>
      <c r="AW89" s="1825"/>
      <c r="AX89" s="1825"/>
      <c r="AY89" s="1825"/>
      <c r="AZ89" s="1825"/>
      <c r="BA89" s="1825"/>
      <c r="BB89" s="1825"/>
      <c r="BC89" s="1825"/>
      <c r="BD89" s="1825"/>
      <c r="BE89" s="1825"/>
      <c r="BF89" s="1825"/>
      <c r="BG89" s="1638"/>
    </row>
    <row customHeight="1" ht="12">
      <c r="A90" s="1169" t="s">
        <v>1027</v>
      </c>
      <c r="B90" s="1169"/>
      <c r="C90" s="1169"/>
      <c r="D90" s="1163"/>
      <c r="E90" s="1173"/>
      <c r="F90" s="2559"/>
      <c r="G90" s="1193"/>
      <c r="H90" s="1193"/>
      <c r="I90" s="2557" t="s">
        <v>1058</v>
      </c>
      <c r="J90" s="2557"/>
      <c r="K90" s="2557"/>
      <c r="L90" s="1176"/>
      <c r="M90" s="1176"/>
      <c r="N90" s="1177"/>
      <c r="O90" s="1177"/>
      <c r="P90" s="1177"/>
      <c r="Q90" s="1177"/>
      <c r="R90" s="1177"/>
      <c r="S90" s="1177"/>
      <c r="T90" s="1177"/>
      <c r="U90" s="1177"/>
      <c r="V90" s="1177"/>
      <c r="W90" s="1177"/>
      <c r="X90" s="1177"/>
      <c r="Y90" s="1177"/>
      <c r="Z90" s="1177"/>
      <c r="AA90" s="1177"/>
      <c r="AB90" s="1177"/>
      <c r="AC90" s="1177"/>
      <c r="AD90" s="1177"/>
      <c r="AE90" s="1177"/>
      <c r="AF90" s="1177"/>
      <c r="AG90" s="1176"/>
      <c r="AH90" s="1176"/>
      <c r="AI90" s="1177"/>
      <c r="AJ90" s="1176"/>
      <c r="AK90" s="1177"/>
      <c r="AL90" s="1988"/>
      <c r="AM90" s="1825"/>
      <c r="AN90" s="1825"/>
      <c r="AO90" s="1825"/>
      <c r="AP90" s="1825"/>
      <c r="AQ90" s="1825"/>
      <c r="AR90" s="1825"/>
      <c r="AS90" s="1825"/>
      <c r="AT90" s="1825"/>
      <c r="AU90" s="1825"/>
      <c r="AV90" s="1825"/>
      <c r="AW90" s="1825"/>
      <c r="AX90" s="1825"/>
      <c r="AY90" s="1825"/>
      <c r="AZ90" s="1825"/>
      <c r="BA90" s="1825"/>
      <c r="BB90" s="1825"/>
      <c r="BC90" s="1825"/>
      <c r="BD90" s="1825"/>
      <c r="BE90" s="1825"/>
      <c r="BF90" s="1825"/>
      <c r="BG90" s="1638"/>
    </row>
    <row customHeight="1" ht="0.75">
      <c r="A91" s="1169" t="s">
        <v>1027</v>
      </c>
      <c r="B91" s="1169"/>
      <c r="C91" s="1169"/>
      <c r="D91" s="1163"/>
      <c r="E91" s="1173"/>
      <c r="F91" s="2558">
        <v>2030</v>
      </c>
      <c r="G91" s="2537"/>
      <c r="H91" s="2562" t="s">
        <v>377</v>
      </c>
      <c r="I91" s="2563"/>
      <c r="J91" s="2564"/>
      <c r="K91" s="2564"/>
      <c r="L91" s="2556"/>
      <c r="M91" s="2290"/>
      <c r="N91" s="2036"/>
      <c r="O91" s="2035"/>
      <c r="P91" s="2036"/>
      <c r="Q91" s="2036"/>
      <c r="R91" s="2036"/>
      <c r="S91" s="2036"/>
      <c r="T91" s="2036"/>
      <c r="U91" s="2036"/>
      <c r="V91" s="2036"/>
      <c r="W91" s="2036"/>
      <c r="X91" s="2036"/>
      <c r="Y91" s="2036"/>
      <c r="Z91" s="2036"/>
      <c r="AA91" s="2036"/>
      <c r="AB91" s="2036"/>
      <c r="AC91" s="2036"/>
      <c r="AD91" s="2036"/>
      <c r="AE91" s="2036"/>
      <c r="AF91" s="2560"/>
      <c r="AG91" s="2556"/>
      <c r="AH91" s="2556"/>
      <c r="AI91" s="2560"/>
      <c r="AJ91" s="2556"/>
      <c r="AK91" s="2556"/>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c r="BG91" s="1638"/>
    </row>
    <row customHeight="1" ht="0.75">
      <c r="A92" s="1169" t="s">
        <v>1027</v>
      </c>
      <c r="B92" s="1169"/>
      <c r="C92" s="1169"/>
      <c r="D92" s="1163"/>
      <c r="E92" s="1173"/>
      <c r="F92" s="2558"/>
      <c r="G92" s="2537"/>
      <c r="H92" s="2562"/>
      <c r="I92" s="2563"/>
      <c r="J92" s="2564"/>
      <c r="K92" s="2564"/>
      <c r="L92" s="2556"/>
      <c r="M92" s="2290"/>
      <c r="N92" s="2565"/>
      <c r="O92" s="2566"/>
      <c r="P92" s="2610"/>
      <c r="Q92" s="2561"/>
      <c r="R92" s="2561"/>
      <c r="S92" s="2561"/>
      <c r="T92" s="2561"/>
      <c r="U92" s="2561"/>
      <c r="V92" s="2561"/>
      <c r="W92" s="2561"/>
      <c r="X92" s="2561"/>
      <c r="Y92" s="2561"/>
      <c r="Z92" s="2037"/>
      <c r="AA92" s="2038"/>
      <c r="AB92" s="2038"/>
      <c r="AC92" s="2039"/>
      <c r="AD92" s="2039"/>
      <c r="AE92" s="2040"/>
      <c r="AF92" s="2560"/>
      <c r="AG92" s="2556"/>
      <c r="AH92" s="2556"/>
      <c r="AI92" s="2560"/>
      <c r="AJ92" s="2556"/>
      <c r="AK92" s="2556"/>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c r="BG92" s="1638"/>
    </row>
    <row customHeight="1" ht="0.75">
      <c r="A93" s="1169" t="s">
        <v>1027</v>
      </c>
      <c r="B93" s="1169"/>
      <c r="C93" s="1169"/>
      <c r="D93" s="1163"/>
      <c r="E93" s="1173"/>
      <c r="F93" s="2558"/>
      <c r="G93" s="2537"/>
      <c r="H93" s="2562"/>
      <c r="I93" s="2563"/>
      <c r="J93" s="2564"/>
      <c r="K93" s="2564"/>
      <c r="L93" s="2556"/>
      <c r="M93" s="2290"/>
      <c r="N93" s="2565"/>
      <c r="O93" s="2566"/>
      <c r="P93" s="2611"/>
      <c r="Q93" s="2561"/>
      <c r="R93" s="2561"/>
      <c r="S93" s="2561"/>
      <c r="T93" s="2561"/>
      <c r="U93" s="2561"/>
      <c r="V93" s="2561"/>
      <c r="W93" s="2561"/>
      <c r="X93" s="2561"/>
      <c r="Y93" s="2561"/>
      <c r="Z93" s="2041"/>
      <c r="AA93" s="2042"/>
      <c r="AB93" s="2043"/>
      <c r="AC93" s="2044"/>
      <c r="AD93" s="2043"/>
      <c r="AE93" s="2044"/>
      <c r="AF93" s="2560"/>
      <c r="AG93" s="2556"/>
      <c r="AH93" s="2556"/>
      <c r="AI93" s="2560"/>
      <c r="AJ93" s="2556"/>
      <c r="AK93" s="2556"/>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c r="BG93" s="1638"/>
    </row>
    <row customHeight="1" ht="0.75">
      <c r="A94" s="1169" t="s">
        <v>1027</v>
      </c>
      <c r="B94" s="1169"/>
      <c r="C94" s="1169"/>
      <c r="D94" s="1163"/>
      <c r="E94" s="1173"/>
      <c r="F94" s="2558"/>
      <c r="G94" s="2537"/>
      <c r="H94" s="2562"/>
      <c r="I94" s="2563"/>
      <c r="J94" s="2564"/>
      <c r="K94" s="2564"/>
      <c r="L94" s="2556"/>
      <c r="M94" s="2290"/>
      <c r="N94" s="2565"/>
      <c r="O94" s="2566"/>
      <c r="P94" s="2612"/>
      <c r="Q94" s="2561"/>
      <c r="R94" s="2561"/>
      <c r="S94" s="2561"/>
      <c r="T94" s="2561"/>
      <c r="U94" s="2561"/>
      <c r="V94" s="2561"/>
      <c r="W94" s="2561"/>
      <c r="X94" s="2561"/>
      <c r="Y94" s="2561"/>
      <c r="Z94" s="2037"/>
      <c r="AA94" s="2038"/>
      <c r="AB94" s="2045"/>
      <c r="AC94" s="2039"/>
      <c r="AD94" s="2039"/>
      <c r="AE94" s="2046"/>
      <c r="AF94" s="2560"/>
      <c r="AG94" s="2556"/>
      <c r="AH94" s="2556"/>
      <c r="AI94" s="2560"/>
      <c r="AJ94" s="2556"/>
      <c r="AK94" s="2556"/>
      <c r="AL94" s="1988"/>
      <c r="AM94" s="1825"/>
      <c r="AN94" s="1825"/>
      <c r="AO94" s="1825"/>
      <c r="AP94" s="1825"/>
      <c r="AQ94" s="1825"/>
      <c r="AR94" s="1825"/>
      <c r="AS94" s="1825"/>
      <c r="AT94" s="1825"/>
      <c r="AU94" s="1825"/>
      <c r="AV94" s="1825"/>
      <c r="AW94" s="1825"/>
      <c r="AX94" s="1825"/>
      <c r="AY94" s="1825"/>
      <c r="AZ94" s="1825"/>
      <c r="BA94" s="1825"/>
      <c r="BB94" s="1825"/>
      <c r="BC94" s="1825"/>
      <c r="BD94" s="1825"/>
      <c r="BE94" s="1825"/>
      <c r="BF94" s="1825"/>
      <c r="BG94" s="1638"/>
    </row>
    <row customHeight="1" ht="0.75">
      <c r="A95" s="1169" t="s">
        <v>1027</v>
      </c>
      <c r="B95" s="1169"/>
      <c r="C95" s="1169"/>
      <c r="D95" s="1163"/>
      <c r="E95" s="1173"/>
      <c r="F95" s="2558"/>
      <c r="G95" s="2537"/>
      <c r="H95" s="2562"/>
      <c r="I95" s="2563"/>
      <c r="J95" s="2564"/>
      <c r="K95" s="2564"/>
      <c r="L95" s="2556"/>
      <c r="M95" s="2290"/>
      <c r="N95" s="2038"/>
      <c r="O95" s="2038"/>
      <c r="P95" s="2045"/>
      <c r="Q95" s="2038"/>
      <c r="R95" s="2038"/>
      <c r="S95" s="2038"/>
      <c r="T95" s="2038"/>
      <c r="U95" s="2038"/>
      <c r="V95" s="2038"/>
      <c r="W95" s="2038"/>
      <c r="X95" s="2038"/>
      <c r="Y95" s="2038"/>
      <c r="Z95" s="2038"/>
      <c r="AA95" s="2038"/>
      <c r="AB95" s="2038"/>
      <c r="AC95" s="2038"/>
      <c r="AD95" s="2038"/>
      <c r="AE95" s="2047"/>
      <c r="AF95" s="2560"/>
      <c r="AG95" s="2556"/>
      <c r="AH95" s="2556"/>
      <c r="AI95" s="2560"/>
      <c r="AJ95" s="2556"/>
      <c r="AK95" s="2556"/>
      <c r="AL95" s="1988"/>
      <c r="AM95" s="1825"/>
      <c r="AN95" s="1825"/>
      <c r="AO95" s="1825"/>
      <c r="AP95" s="1825"/>
      <c r="AQ95" s="1825"/>
      <c r="AR95" s="1825"/>
      <c r="AS95" s="1825"/>
      <c r="AT95" s="1825"/>
      <c r="AU95" s="1825"/>
      <c r="AV95" s="1825"/>
      <c r="AW95" s="1825"/>
      <c r="AX95" s="1825"/>
      <c r="AY95" s="1825"/>
      <c r="AZ95" s="1825"/>
      <c r="BA95" s="1825"/>
      <c r="BB95" s="1825"/>
      <c r="BC95" s="1825"/>
      <c r="BD95" s="1825"/>
      <c r="BE95" s="1825"/>
      <c r="BF95" s="1825"/>
      <c r="BG95" s="1638"/>
    </row>
    <row customHeight="1" ht="12">
      <c r="A96" s="1169" t="s">
        <v>1027</v>
      </c>
      <c r="B96" s="1169"/>
      <c r="C96" s="1169"/>
      <c r="D96" s="1163"/>
      <c r="E96" s="1173"/>
      <c r="F96" s="2559"/>
      <c r="G96" s="1193"/>
      <c r="H96" s="1193"/>
      <c r="I96" s="2557" t="s">
        <v>1058</v>
      </c>
      <c r="J96" s="2557"/>
      <c r="K96" s="2557"/>
      <c r="L96" s="1176"/>
      <c r="M96" s="1176"/>
      <c r="N96" s="1177"/>
      <c r="O96" s="1177"/>
      <c r="P96" s="1177"/>
      <c r="Q96" s="1177"/>
      <c r="R96" s="1177"/>
      <c r="S96" s="1177"/>
      <c r="T96" s="1177"/>
      <c r="U96" s="1177"/>
      <c r="V96" s="1177"/>
      <c r="W96" s="1177"/>
      <c r="X96" s="1177"/>
      <c r="Y96" s="1177"/>
      <c r="Z96" s="1177"/>
      <c r="AA96" s="1177"/>
      <c r="AB96" s="1177"/>
      <c r="AC96" s="1177"/>
      <c r="AD96" s="1177"/>
      <c r="AE96" s="1177"/>
      <c r="AF96" s="1177"/>
      <c r="AG96" s="1176"/>
      <c r="AH96" s="1176"/>
      <c r="AI96" s="1177"/>
      <c r="AJ96" s="1176"/>
      <c r="AK96" s="1177"/>
      <c r="AL96" s="1988"/>
      <c r="AM96" s="1825"/>
      <c r="AN96" s="1825"/>
      <c r="AO96" s="1825"/>
      <c r="AP96" s="1825"/>
      <c r="AQ96" s="1825"/>
      <c r="AR96" s="1825"/>
      <c r="AS96" s="1825"/>
      <c r="AT96" s="1825"/>
      <c r="AU96" s="1825"/>
      <c r="AV96" s="1825"/>
      <c r="AW96" s="1825"/>
      <c r="AX96" s="1825"/>
      <c r="AY96" s="1825"/>
      <c r="AZ96" s="1825"/>
      <c r="BA96" s="1825"/>
      <c r="BB96" s="1825"/>
      <c r="BC96" s="1825"/>
      <c r="BD96" s="1825"/>
      <c r="BE96" s="1825"/>
      <c r="BF96" s="1825"/>
      <c r="BG96" s="1638"/>
    </row>
    <row customHeight="1" ht="0.75">
      <c r="A97" s="1169" t="s">
        <v>1027</v>
      </c>
      <c r="B97" s="1169"/>
      <c r="C97" s="1169"/>
      <c r="D97" s="1163"/>
      <c r="E97" s="1173"/>
      <c r="F97" s="2558">
        <v>2031</v>
      </c>
      <c r="G97" s="2537"/>
      <c r="H97" s="2562" t="s">
        <v>377</v>
      </c>
      <c r="I97" s="2563"/>
      <c r="J97" s="2564"/>
      <c r="K97" s="2564"/>
      <c r="L97" s="2556"/>
      <c r="M97" s="2290"/>
      <c r="N97" s="2036"/>
      <c r="O97" s="2035"/>
      <c r="P97" s="2036"/>
      <c r="Q97" s="2036"/>
      <c r="R97" s="2036"/>
      <c r="S97" s="2036"/>
      <c r="T97" s="2036"/>
      <c r="U97" s="2036"/>
      <c r="V97" s="2036"/>
      <c r="W97" s="2036"/>
      <c r="X97" s="2036"/>
      <c r="Y97" s="2036"/>
      <c r="Z97" s="2036"/>
      <c r="AA97" s="2036"/>
      <c r="AB97" s="2036"/>
      <c r="AC97" s="2036"/>
      <c r="AD97" s="2036"/>
      <c r="AE97" s="2036"/>
      <c r="AF97" s="2560"/>
      <c r="AG97" s="2556"/>
      <c r="AH97" s="2556"/>
      <c r="AI97" s="2560"/>
      <c r="AJ97" s="2556"/>
      <c r="AK97" s="2556"/>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c r="BG97" s="1638"/>
    </row>
    <row customHeight="1" ht="0.75">
      <c r="A98" s="1169" t="s">
        <v>1027</v>
      </c>
      <c r="B98" s="1169"/>
      <c r="C98" s="1169"/>
      <c r="D98" s="1163"/>
      <c r="E98" s="1173"/>
      <c r="F98" s="2558"/>
      <c r="G98" s="2537"/>
      <c r="H98" s="2562"/>
      <c r="I98" s="2563"/>
      <c r="J98" s="2564"/>
      <c r="K98" s="2564"/>
      <c r="L98" s="2556"/>
      <c r="M98" s="2290"/>
      <c r="N98" s="2565"/>
      <c r="O98" s="2566"/>
      <c r="P98" s="2610"/>
      <c r="Q98" s="2561"/>
      <c r="R98" s="2561"/>
      <c r="S98" s="2561"/>
      <c r="T98" s="2561"/>
      <c r="U98" s="2561"/>
      <c r="V98" s="2561"/>
      <c r="W98" s="2561"/>
      <c r="X98" s="2561"/>
      <c r="Y98" s="2561"/>
      <c r="Z98" s="2037"/>
      <c r="AA98" s="2038"/>
      <c r="AB98" s="2038"/>
      <c r="AC98" s="2039"/>
      <c r="AD98" s="2039"/>
      <c r="AE98" s="2040"/>
      <c r="AF98" s="2560"/>
      <c r="AG98" s="2556"/>
      <c r="AH98" s="2556"/>
      <c r="AI98" s="2560"/>
      <c r="AJ98" s="2556"/>
      <c r="AK98" s="2556"/>
      <c r="AL98" s="1988"/>
      <c r="AM98" s="1825"/>
      <c r="AN98" s="1825"/>
      <c r="AO98" s="1825"/>
      <c r="AP98" s="1825"/>
      <c r="AQ98" s="1825"/>
      <c r="AR98" s="1825"/>
      <c r="AS98" s="1825"/>
      <c r="AT98" s="1825"/>
      <c r="AU98" s="1825"/>
      <c r="AV98" s="1825"/>
      <c r="AW98" s="1825"/>
      <c r="AX98" s="1825"/>
      <c r="AY98" s="1825"/>
      <c r="AZ98" s="1825"/>
      <c r="BA98" s="1825"/>
      <c r="BB98" s="1825"/>
      <c r="BC98" s="1825"/>
      <c r="BD98" s="1825"/>
      <c r="BE98" s="1825"/>
      <c r="BF98" s="1825"/>
      <c r="BG98" s="1638"/>
    </row>
    <row customHeight="1" ht="0.75">
      <c r="A99" s="1169" t="s">
        <v>1027</v>
      </c>
      <c r="B99" s="1169"/>
      <c r="C99" s="1169"/>
      <c r="D99" s="1163"/>
      <c r="E99" s="1173"/>
      <c r="F99" s="2558"/>
      <c r="G99" s="2537"/>
      <c r="H99" s="2562"/>
      <c r="I99" s="2563"/>
      <c r="J99" s="2564"/>
      <c r="K99" s="2564"/>
      <c r="L99" s="2556"/>
      <c r="M99" s="2290"/>
      <c r="N99" s="2565"/>
      <c r="O99" s="2566"/>
      <c r="P99" s="2611"/>
      <c r="Q99" s="2561"/>
      <c r="R99" s="2561"/>
      <c r="S99" s="2561"/>
      <c r="T99" s="2561"/>
      <c r="U99" s="2561"/>
      <c r="V99" s="2561"/>
      <c r="W99" s="2561"/>
      <c r="X99" s="2561"/>
      <c r="Y99" s="2561"/>
      <c r="Z99" s="2041"/>
      <c r="AA99" s="2042"/>
      <c r="AB99" s="2043"/>
      <c r="AC99" s="2044"/>
      <c r="AD99" s="2043"/>
      <c r="AE99" s="2044"/>
      <c r="AF99" s="2560"/>
      <c r="AG99" s="2556"/>
      <c r="AH99" s="2556"/>
      <c r="AI99" s="2560"/>
      <c r="AJ99" s="2556"/>
      <c r="AK99" s="2556"/>
      <c r="AL99" s="1988"/>
      <c r="AM99" s="1825"/>
      <c r="AN99" s="1825"/>
      <c r="AO99" s="1825"/>
      <c r="AP99" s="1825"/>
      <c r="AQ99" s="1825"/>
      <c r="AR99" s="1825"/>
      <c r="AS99" s="1825"/>
      <c r="AT99" s="1825"/>
      <c r="AU99" s="1825"/>
      <c r="AV99" s="1825"/>
      <c r="AW99" s="1825"/>
      <c r="AX99" s="1825"/>
      <c r="AY99" s="1825"/>
      <c r="AZ99" s="1825"/>
      <c r="BA99" s="1825"/>
      <c r="BB99" s="1825"/>
      <c r="BC99" s="1825"/>
      <c r="BD99" s="1825"/>
      <c r="BE99" s="1825"/>
      <c r="BF99" s="1825"/>
      <c r="BG99" s="1638"/>
    </row>
    <row customHeight="1" ht="0.75">
      <c r="A100" s="1169" t="s">
        <v>1027</v>
      </c>
      <c r="B100" s="1169"/>
      <c r="C100" s="1169"/>
      <c r="D100" s="1163"/>
      <c r="E100" s="1173"/>
      <c r="F100" s="2558"/>
      <c r="G100" s="2537"/>
      <c r="H100" s="2562"/>
      <c r="I100" s="2563"/>
      <c r="J100" s="2564"/>
      <c r="K100" s="2564"/>
      <c r="L100" s="2556"/>
      <c r="M100" s="2290"/>
      <c r="N100" s="2565"/>
      <c r="O100" s="2566"/>
      <c r="P100" s="2612"/>
      <c r="Q100" s="2561"/>
      <c r="R100" s="2561"/>
      <c r="S100" s="2561"/>
      <c r="T100" s="2561"/>
      <c r="U100" s="2561"/>
      <c r="V100" s="2561"/>
      <c r="W100" s="2561"/>
      <c r="X100" s="2561"/>
      <c r="Y100" s="2561"/>
      <c r="Z100" s="2037"/>
      <c r="AA100" s="2038"/>
      <c r="AB100" s="2045"/>
      <c r="AC100" s="2039"/>
      <c r="AD100" s="2039"/>
      <c r="AE100" s="2046"/>
      <c r="AF100" s="2560"/>
      <c r="AG100" s="2556"/>
      <c r="AH100" s="2556"/>
      <c r="AI100" s="2560"/>
      <c r="AJ100" s="2556"/>
      <c r="AK100" s="2556"/>
      <c r="AL100" s="1988"/>
      <c r="AM100" s="1825"/>
      <c r="AN100" s="1825"/>
      <c r="AO100" s="1825"/>
      <c r="AP100" s="1825"/>
      <c r="AQ100" s="1825"/>
      <c r="AR100" s="1825"/>
      <c r="AS100" s="1825"/>
      <c r="AT100" s="1825"/>
      <c r="AU100" s="1825"/>
      <c r="AV100" s="1825"/>
      <c r="AW100" s="1825"/>
      <c r="AX100" s="1825"/>
      <c r="AY100" s="1825"/>
      <c r="AZ100" s="1825"/>
      <c r="BA100" s="1825"/>
      <c r="BB100" s="1825"/>
      <c r="BC100" s="1825"/>
      <c r="BD100" s="1825"/>
      <c r="BE100" s="1825"/>
      <c r="BF100" s="1825"/>
      <c r="BG100" s="1638"/>
    </row>
    <row customHeight="1" ht="0.75">
      <c r="A101" s="1169" t="s">
        <v>1027</v>
      </c>
      <c r="B101" s="1169"/>
      <c r="C101" s="1169"/>
      <c r="D101" s="1163"/>
      <c r="E101" s="1173"/>
      <c r="F101" s="2558"/>
      <c r="G101" s="2537"/>
      <c r="H101" s="2562"/>
      <c r="I101" s="2563"/>
      <c r="J101" s="2564"/>
      <c r="K101" s="2564"/>
      <c r="L101" s="2556"/>
      <c r="M101" s="2290"/>
      <c r="N101" s="2038"/>
      <c r="O101" s="2038"/>
      <c r="P101" s="2045"/>
      <c r="Q101" s="2038"/>
      <c r="R101" s="2038"/>
      <c r="S101" s="2038"/>
      <c r="T101" s="2038"/>
      <c r="U101" s="2038"/>
      <c r="V101" s="2038"/>
      <c r="W101" s="2038"/>
      <c r="X101" s="2038"/>
      <c r="Y101" s="2038"/>
      <c r="Z101" s="2038"/>
      <c r="AA101" s="2038"/>
      <c r="AB101" s="2038"/>
      <c r="AC101" s="2038"/>
      <c r="AD101" s="2038"/>
      <c r="AE101" s="2047"/>
      <c r="AF101" s="2560"/>
      <c r="AG101" s="2556"/>
      <c r="AH101" s="2556"/>
      <c r="AI101" s="2560"/>
      <c r="AJ101" s="2556"/>
      <c r="AK101" s="2556"/>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c r="BG101" s="1638"/>
    </row>
    <row customHeight="1" ht="12">
      <c r="A102" s="1169" t="s">
        <v>1027</v>
      </c>
      <c r="B102" s="1169"/>
      <c r="C102" s="1169"/>
      <c r="D102" s="1163"/>
      <c r="E102" s="1173"/>
      <c r="F102" s="2559"/>
      <c r="G102" s="1193"/>
      <c r="H102" s="1193"/>
      <c r="I102" s="2557" t="s">
        <v>1058</v>
      </c>
      <c r="J102" s="2557"/>
      <c r="K102" s="2557"/>
      <c r="L102" s="1176"/>
      <c r="M102" s="1176"/>
      <c r="N102" s="1177"/>
      <c r="O102" s="1177"/>
      <c r="P102" s="1177"/>
      <c r="Q102" s="1177"/>
      <c r="R102" s="1177"/>
      <c r="S102" s="1177"/>
      <c r="T102" s="1177"/>
      <c r="U102" s="1177"/>
      <c r="V102" s="1177"/>
      <c r="W102" s="1177"/>
      <c r="X102" s="1177"/>
      <c r="Y102" s="1177"/>
      <c r="Z102" s="1177"/>
      <c r="AA102" s="1177"/>
      <c r="AB102" s="1177"/>
      <c r="AC102" s="1177"/>
      <c r="AD102" s="1177"/>
      <c r="AE102" s="1177"/>
      <c r="AF102" s="1177"/>
      <c r="AG102" s="1176"/>
      <c r="AH102" s="1176"/>
      <c r="AI102" s="1177"/>
      <c r="AJ102" s="1176"/>
      <c r="AK102" s="1177"/>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c r="BG102" s="1638"/>
    </row>
    <row customHeight="1" ht="0.75">
      <c r="A103" s="1169" t="s">
        <v>1027</v>
      </c>
      <c r="B103" s="1169"/>
      <c r="C103" s="1169"/>
      <c r="D103" s="1163"/>
      <c r="E103" s="1173"/>
      <c r="F103" s="2558">
        <v>2032</v>
      </c>
      <c r="G103" s="2537"/>
      <c r="H103" s="2562" t="s">
        <v>377</v>
      </c>
      <c r="I103" s="2563"/>
      <c r="J103" s="2564"/>
      <c r="K103" s="2564"/>
      <c r="L103" s="2556"/>
      <c r="M103" s="2290"/>
      <c r="N103" s="2036"/>
      <c r="O103" s="2035"/>
      <c r="P103" s="2036"/>
      <c r="Q103" s="2036"/>
      <c r="R103" s="2036"/>
      <c r="S103" s="2036"/>
      <c r="T103" s="2036"/>
      <c r="U103" s="2036"/>
      <c r="V103" s="2036"/>
      <c r="W103" s="2036"/>
      <c r="X103" s="2036"/>
      <c r="Y103" s="2036"/>
      <c r="Z103" s="2036"/>
      <c r="AA103" s="2036"/>
      <c r="AB103" s="2036"/>
      <c r="AC103" s="2036"/>
      <c r="AD103" s="2036"/>
      <c r="AE103" s="2036"/>
      <c r="AF103" s="2560"/>
      <c r="AG103" s="2556"/>
      <c r="AH103" s="2556"/>
      <c r="AI103" s="2560"/>
      <c r="AJ103" s="2556"/>
      <c r="AK103" s="2556"/>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c r="BG103" s="1638"/>
    </row>
    <row customHeight="1" ht="0.75">
      <c r="A104" s="1169" t="s">
        <v>1027</v>
      </c>
      <c r="B104" s="1169"/>
      <c r="C104" s="1169"/>
      <c r="D104" s="1163"/>
      <c r="E104" s="1173"/>
      <c r="F104" s="2558"/>
      <c r="G104" s="2537"/>
      <c r="H104" s="2562"/>
      <c r="I104" s="2563"/>
      <c r="J104" s="2564"/>
      <c r="K104" s="2564"/>
      <c r="L104" s="2556"/>
      <c r="M104" s="2290"/>
      <c r="N104" s="2565"/>
      <c r="O104" s="2566"/>
      <c r="P104" s="2610"/>
      <c r="Q104" s="2561"/>
      <c r="R104" s="2561"/>
      <c r="S104" s="2561"/>
      <c r="T104" s="2561"/>
      <c r="U104" s="2561"/>
      <c r="V104" s="2561"/>
      <c r="W104" s="2561"/>
      <c r="X104" s="2561"/>
      <c r="Y104" s="2561"/>
      <c r="Z104" s="2037"/>
      <c r="AA104" s="2038"/>
      <c r="AB104" s="2038"/>
      <c r="AC104" s="2039"/>
      <c r="AD104" s="2039"/>
      <c r="AE104" s="2040"/>
      <c r="AF104" s="2560"/>
      <c r="AG104" s="2556"/>
      <c r="AH104" s="2556"/>
      <c r="AI104" s="2560"/>
      <c r="AJ104" s="2556"/>
      <c r="AK104" s="2556"/>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c r="BG104" s="1638"/>
    </row>
    <row customHeight="1" ht="0.75">
      <c r="A105" s="1169" t="s">
        <v>1027</v>
      </c>
      <c r="B105" s="1169"/>
      <c r="C105" s="1169"/>
      <c r="D105" s="1163"/>
      <c r="E105" s="1173"/>
      <c r="F105" s="2558"/>
      <c r="G105" s="2537"/>
      <c r="H105" s="2562"/>
      <c r="I105" s="2563"/>
      <c r="J105" s="2564"/>
      <c r="K105" s="2564"/>
      <c r="L105" s="2556"/>
      <c r="M105" s="2290"/>
      <c r="N105" s="2565"/>
      <c r="O105" s="2566"/>
      <c r="P105" s="2611"/>
      <c r="Q105" s="2561"/>
      <c r="R105" s="2561"/>
      <c r="S105" s="2561"/>
      <c r="T105" s="2561"/>
      <c r="U105" s="2561"/>
      <c r="V105" s="2561"/>
      <c r="W105" s="2561"/>
      <c r="X105" s="2561"/>
      <c r="Y105" s="2561"/>
      <c r="Z105" s="2041"/>
      <c r="AA105" s="2042"/>
      <c r="AB105" s="2043"/>
      <c r="AC105" s="2044"/>
      <c r="AD105" s="2043"/>
      <c r="AE105" s="2044"/>
      <c r="AF105" s="2560"/>
      <c r="AG105" s="2556"/>
      <c r="AH105" s="2556"/>
      <c r="AI105" s="2560"/>
      <c r="AJ105" s="2556"/>
      <c r="AK105" s="2556"/>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c r="BG105" s="1638"/>
    </row>
    <row customHeight="1" ht="0.75">
      <c r="A106" s="1169" t="s">
        <v>1027</v>
      </c>
      <c r="B106" s="1169"/>
      <c r="C106" s="1169"/>
      <c r="D106" s="1163"/>
      <c r="E106" s="1173"/>
      <c r="F106" s="2558"/>
      <c r="G106" s="2537"/>
      <c r="H106" s="2562"/>
      <c r="I106" s="2563"/>
      <c r="J106" s="2564"/>
      <c r="K106" s="2564"/>
      <c r="L106" s="2556"/>
      <c r="M106" s="2290"/>
      <c r="N106" s="2565"/>
      <c r="O106" s="2566"/>
      <c r="P106" s="2612"/>
      <c r="Q106" s="2561"/>
      <c r="R106" s="2561"/>
      <c r="S106" s="2561"/>
      <c r="T106" s="2561"/>
      <c r="U106" s="2561"/>
      <c r="V106" s="2561"/>
      <c r="W106" s="2561"/>
      <c r="X106" s="2561"/>
      <c r="Y106" s="2561"/>
      <c r="Z106" s="2037"/>
      <c r="AA106" s="2038"/>
      <c r="AB106" s="2045"/>
      <c r="AC106" s="2039"/>
      <c r="AD106" s="2039"/>
      <c r="AE106" s="2046"/>
      <c r="AF106" s="2560"/>
      <c r="AG106" s="2556"/>
      <c r="AH106" s="2556"/>
      <c r="AI106" s="2560"/>
      <c r="AJ106" s="2556"/>
      <c r="AK106" s="2556"/>
      <c r="AL106" s="1988"/>
      <c r="AM106" s="1825"/>
      <c r="AN106" s="1825"/>
      <c r="AO106" s="1825"/>
      <c r="AP106" s="1825"/>
      <c r="AQ106" s="1825"/>
      <c r="AR106" s="1825"/>
      <c r="AS106" s="1825"/>
      <c r="AT106" s="1825"/>
      <c r="AU106" s="1825"/>
      <c r="AV106" s="1825"/>
      <c r="AW106" s="1825"/>
      <c r="AX106" s="1825"/>
      <c r="AY106" s="1825"/>
      <c r="AZ106" s="1825"/>
      <c r="BA106" s="1825"/>
      <c r="BB106" s="1825"/>
      <c r="BC106" s="1825"/>
      <c r="BD106" s="1825"/>
      <c r="BE106" s="1825"/>
      <c r="BF106" s="1825"/>
      <c r="BG106" s="1638"/>
    </row>
    <row customHeight="1" ht="0.75">
      <c r="A107" s="1169" t="s">
        <v>1027</v>
      </c>
      <c r="B107" s="1169"/>
      <c r="C107" s="1169"/>
      <c r="D107" s="1163"/>
      <c r="E107" s="1173"/>
      <c r="F107" s="2558"/>
      <c r="G107" s="2537"/>
      <c r="H107" s="2562"/>
      <c r="I107" s="2563"/>
      <c r="J107" s="2564"/>
      <c r="K107" s="2564"/>
      <c r="L107" s="2556"/>
      <c r="M107" s="2290"/>
      <c r="N107" s="2038"/>
      <c r="O107" s="2038"/>
      <c r="P107" s="2045"/>
      <c r="Q107" s="2038"/>
      <c r="R107" s="2038"/>
      <c r="S107" s="2038"/>
      <c r="T107" s="2038"/>
      <c r="U107" s="2038"/>
      <c r="V107" s="2038"/>
      <c r="W107" s="2038"/>
      <c r="X107" s="2038"/>
      <c r="Y107" s="2038"/>
      <c r="Z107" s="2038"/>
      <c r="AA107" s="2038"/>
      <c r="AB107" s="2038"/>
      <c r="AC107" s="2038"/>
      <c r="AD107" s="2038"/>
      <c r="AE107" s="2047"/>
      <c r="AF107" s="2560"/>
      <c r="AG107" s="2556"/>
      <c r="AH107" s="2556"/>
      <c r="AI107" s="2560"/>
      <c r="AJ107" s="2556"/>
      <c r="AK107" s="2556"/>
      <c r="AL107" s="1988"/>
      <c r="AM107" s="1825"/>
      <c r="AN107" s="1825"/>
      <c r="AO107" s="1825"/>
      <c r="AP107" s="1825"/>
      <c r="AQ107" s="1825"/>
      <c r="AR107" s="1825"/>
      <c r="AS107" s="1825"/>
      <c r="AT107" s="1825"/>
      <c r="AU107" s="1825"/>
      <c r="AV107" s="1825"/>
      <c r="AW107" s="1825"/>
      <c r="AX107" s="1825"/>
      <c r="AY107" s="1825"/>
      <c r="AZ107" s="1825"/>
      <c r="BA107" s="1825"/>
      <c r="BB107" s="1825"/>
      <c r="BC107" s="1825"/>
      <c r="BD107" s="1825"/>
      <c r="BE107" s="1825"/>
      <c r="BF107" s="1825"/>
      <c r="BG107" s="1638"/>
    </row>
    <row customHeight="1" ht="12">
      <c r="A108" s="1169" t="s">
        <v>1027</v>
      </c>
      <c r="B108" s="1169"/>
      <c r="C108" s="1169"/>
      <c r="D108" s="1163"/>
      <c r="E108" s="1173"/>
      <c r="F108" s="2559"/>
      <c r="G108" s="1193"/>
      <c r="H108" s="1193"/>
      <c r="I108" s="2557" t="s">
        <v>1058</v>
      </c>
      <c r="J108" s="2557"/>
      <c r="K108" s="2557"/>
      <c r="L108" s="1176"/>
      <c r="M108" s="1176"/>
      <c r="N108" s="1177"/>
      <c r="O108" s="1177"/>
      <c r="P108" s="1177"/>
      <c r="Q108" s="1177"/>
      <c r="R108" s="1177"/>
      <c r="S108" s="1177"/>
      <c r="T108" s="1177"/>
      <c r="U108" s="1177"/>
      <c r="V108" s="1177"/>
      <c r="W108" s="1177"/>
      <c r="X108" s="1177"/>
      <c r="Y108" s="1177"/>
      <c r="Z108" s="1177"/>
      <c r="AA108" s="1177"/>
      <c r="AB108" s="1177"/>
      <c r="AC108" s="1177"/>
      <c r="AD108" s="1177"/>
      <c r="AE108" s="1177"/>
      <c r="AF108" s="1177"/>
      <c r="AG108" s="1176"/>
      <c r="AH108" s="1176"/>
      <c r="AI108" s="1177"/>
      <c r="AJ108" s="1176"/>
      <c r="AK108" s="1177"/>
      <c r="AL108" s="1988"/>
      <c r="AM108" s="1825"/>
      <c r="AN108" s="1825"/>
      <c r="AO108" s="1825"/>
      <c r="AP108" s="1825"/>
      <c r="AQ108" s="1825"/>
      <c r="AR108" s="1825"/>
      <c r="AS108" s="1825"/>
      <c r="AT108" s="1825"/>
      <c r="AU108" s="1825"/>
      <c r="AV108" s="1825"/>
      <c r="AW108" s="1825"/>
      <c r="AX108" s="1825"/>
      <c r="AY108" s="1825"/>
      <c r="AZ108" s="1825"/>
      <c r="BA108" s="1825"/>
      <c r="BB108" s="1825"/>
      <c r="BC108" s="1825"/>
      <c r="BD108" s="1825"/>
      <c r="BE108" s="1825"/>
      <c r="BF108" s="1825"/>
      <c r="BG108" s="1638"/>
    </row>
    <row customHeight="1" ht="0.75">
      <c r="A109" s="1169" t="s">
        <v>1027</v>
      </c>
      <c r="B109" s="1169"/>
      <c r="C109" s="1169"/>
      <c r="D109" s="1163"/>
      <c r="E109" s="1173"/>
      <c r="F109" s="2558">
        <v>2033</v>
      </c>
      <c r="G109" s="2537"/>
      <c r="H109" s="2562" t="s">
        <v>377</v>
      </c>
      <c r="I109" s="2563"/>
      <c r="J109" s="2564"/>
      <c r="K109" s="2564"/>
      <c r="L109" s="2556"/>
      <c r="M109" s="2290"/>
      <c r="N109" s="2036"/>
      <c r="O109" s="2035"/>
      <c r="P109" s="2036"/>
      <c r="Q109" s="2036"/>
      <c r="R109" s="2036"/>
      <c r="S109" s="2036"/>
      <c r="T109" s="2036"/>
      <c r="U109" s="2036"/>
      <c r="V109" s="2036"/>
      <c r="W109" s="2036"/>
      <c r="X109" s="2036"/>
      <c r="Y109" s="2036"/>
      <c r="Z109" s="2036"/>
      <c r="AA109" s="2036"/>
      <c r="AB109" s="2036"/>
      <c r="AC109" s="2036"/>
      <c r="AD109" s="2036"/>
      <c r="AE109" s="2036"/>
      <c r="AF109" s="2560"/>
      <c r="AG109" s="2556"/>
      <c r="AH109" s="2556"/>
      <c r="AI109" s="2560"/>
      <c r="AJ109" s="2556"/>
      <c r="AK109" s="2556"/>
      <c r="AL109" s="1988"/>
      <c r="AM109" s="1825"/>
      <c r="AN109" s="1825"/>
      <c r="AO109" s="1825"/>
      <c r="AP109" s="1825"/>
      <c r="AQ109" s="1825"/>
      <c r="AR109" s="1825"/>
      <c r="AS109" s="1825"/>
      <c r="AT109" s="1825"/>
      <c r="AU109" s="1825"/>
      <c r="AV109" s="1825"/>
      <c r="AW109" s="1825"/>
      <c r="AX109" s="1825"/>
      <c r="AY109" s="1825"/>
      <c r="AZ109" s="1825"/>
      <c r="BA109" s="1825"/>
      <c r="BB109" s="1825"/>
      <c r="BC109" s="1825"/>
      <c r="BD109" s="1825"/>
      <c r="BE109" s="1825"/>
      <c r="BF109" s="1825"/>
      <c r="BG109" s="1638"/>
    </row>
    <row customHeight="1" ht="0.75">
      <c r="A110" s="1169" t="s">
        <v>1027</v>
      </c>
      <c r="B110" s="1169"/>
      <c r="C110" s="1169"/>
      <c r="D110" s="1163"/>
      <c r="E110" s="1173"/>
      <c r="F110" s="2558"/>
      <c r="G110" s="2537"/>
      <c r="H110" s="2562"/>
      <c r="I110" s="2563"/>
      <c r="J110" s="2564"/>
      <c r="K110" s="2564"/>
      <c r="L110" s="2556"/>
      <c r="M110" s="2290"/>
      <c r="N110" s="2565"/>
      <c r="O110" s="2566"/>
      <c r="P110" s="2610"/>
      <c r="Q110" s="2561"/>
      <c r="R110" s="2561"/>
      <c r="S110" s="2561"/>
      <c r="T110" s="2561"/>
      <c r="U110" s="2561"/>
      <c r="V110" s="2561"/>
      <c r="W110" s="2561"/>
      <c r="X110" s="2561"/>
      <c r="Y110" s="2561"/>
      <c r="Z110" s="2037"/>
      <c r="AA110" s="2038"/>
      <c r="AB110" s="2038"/>
      <c r="AC110" s="2039"/>
      <c r="AD110" s="2039"/>
      <c r="AE110" s="2040"/>
      <c r="AF110" s="2560"/>
      <c r="AG110" s="2556"/>
      <c r="AH110" s="2556"/>
      <c r="AI110" s="2560"/>
      <c r="AJ110" s="2556"/>
      <c r="AK110" s="2556"/>
      <c r="AL110" s="1988"/>
      <c r="AM110" s="1825"/>
      <c r="AN110" s="1825"/>
      <c r="AO110" s="1825"/>
      <c r="AP110" s="1825"/>
      <c r="AQ110" s="1825"/>
      <c r="AR110" s="1825"/>
      <c r="AS110" s="1825"/>
      <c r="AT110" s="1825"/>
      <c r="AU110" s="1825"/>
      <c r="AV110" s="1825"/>
      <c r="AW110" s="1825"/>
      <c r="AX110" s="1825"/>
      <c r="AY110" s="1825"/>
      <c r="AZ110" s="1825"/>
      <c r="BA110" s="1825"/>
      <c r="BB110" s="1825"/>
      <c r="BC110" s="1825"/>
      <c r="BD110" s="1825"/>
      <c r="BE110" s="1825"/>
      <c r="BF110" s="1825"/>
      <c r="BG110" s="1638"/>
    </row>
    <row customHeight="1" ht="0.75">
      <c r="A111" s="1169" t="s">
        <v>1027</v>
      </c>
      <c r="B111" s="1169"/>
      <c r="C111" s="1169"/>
      <c r="D111" s="1163"/>
      <c r="E111" s="1173"/>
      <c r="F111" s="2558"/>
      <c r="G111" s="2537"/>
      <c r="H111" s="2562"/>
      <c r="I111" s="2563"/>
      <c r="J111" s="2564"/>
      <c r="K111" s="2564"/>
      <c r="L111" s="2556"/>
      <c r="M111" s="2290"/>
      <c r="N111" s="2565"/>
      <c r="O111" s="2566"/>
      <c r="P111" s="2611"/>
      <c r="Q111" s="2561"/>
      <c r="R111" s="2561"/>
      <c r="S111" s="2561"/>
      <c r="T111" s="2561"/>
      <c r="U111" s="2561"/>
      <c r="V111" s="2561"/>
      <c r="W111" s="2561"/>
      <c r="X111" s="2561"/>
      <c r="Y111" s="2561"/>
      <c r="Z111" s="2041"/>
      <c r="AA111" s="2042"/>
      <c r="AB111" s="2043"/>
      <c r="AC111" s="2044"/>
      <c r="AD111" s="2043"/>
      <c r="AE111" s="2044"/>
      <c r="AF111" s="2560"/>
      <c r="AG111" s="2556"/>
      <c r="AH111" s="2556"/>
      <c r="AI111" s="2560"/>
      <c r="AJ111" s="2556"/>
      <c r="AK111" s="2556"/>
      <c r="AL111" s="1988"/>
      <c r="AM111" s="1825"/>
      <c r="AN111" s="1825"/>
      <c r="AO111" s="1825"/>
      <c r="AP111" s="1825"/>
      <c r="AQ111" s="1825"/>
      <c r="AR111" s="1825"/>
      <c r="AS111" s="1825"/>
      <c r="AT111" s="1825"/>
      <c r="AU111" s="1825"/>
      <c r="AV111" s="1825"/>
      <c r="AW111" s="1825"/>
      <c r="AX111" s="1825"/>
      <c r="AY111" s="1825"/>
      <c r="AZ111" s="1825"/>
      <c r="BA111" s="1825"/>
      <c r="BB111" s="1825"/>
      <c r="BC111" s="1825"/>
      <c r="BD111" s="1825"/>
      <c r="BE111" s="1825"/>
      <c r="BF111" s="1825"/>
      <c r="BG111" s="1638"/>
    </row>
    <row customHeight="1" ht="0.75">
      <c r="A112" s="1169" t="s">
        <v>1027</v>
      </c>
      <c r="B112" s="1169"/>
      <c r="C112" s="1169"/>
      <c r="D112" s="1163"/>
      <c r="E112" s="1173"/>
      <c r="F112" s="2558"/>
      <c r="G112" s="2537"/>
      <c r="H112" s="2562"/>
      <c r="I112" s="2563"/>
      <c r="J112" s="2564"/>
      <c r="K112" s="2564"/>
      <c r="L112" s="2556"/>
      <c r="M112" s="2290"/>
      <c r="N112" s="2565"/>
      <c r="O112" s="2566"/>
      <c r="P112" s="2612"/>
      <c r="Q112" s="2561"/>
      <c r="R112" s="2561"/>
      <c r="S112" s="2561"/>
      <c r="T112" s="2561"/>
      <c r="U112" s="2561"/>
      <c r="V112" s="2561"/>
      <c r="W112" s="2561"/>
      <c r="X112" s="2561"/>
      <c r="Y112" s="2561"/>
      <c r="Z112" s="2037"/>
      <c r="AA112" s="2038"/>
      <c r="AB112" s="2045"/>
      <c r="AC112" s="2039"/>
      <c r="AD112" s="2039"/>
      <c r="AE112" s="2046"/>
      <c r="AF112" s="2560"/>
      <c r="AG112" s="2556"/>
      <c r="AH112" s="2556"/>
      <c r="AI112" s="2560"/>
      <c r="AJ112" s="2556"/>
      <c r="AK112" s="2556"/>
      <c r="AL112" s="1988"/>
      <c r="AM112" s="1825"/>
      <c r="AN112" s="1825"/>
      <c r="AO112" s="1825"/>
      <c r="AP112" s="1825"/>
      <c r="AQ112" s="1825"/>
      <c r="AR112" s="1825"/>
      <c r="AS112" s="1825"/>
      <c r="AT112" s="1825"/>
      <c r="AU112" s="1825"/>
      <c r="AV112" s="1825"/>
      <c r="AW112" s="1825"/>
      <c r="AX112" s="1825"/>
      <c r="AY112" s="1825"/>
      <c r="AZ112" s="1825"/>
      <c r="BA112" s="1825"/>
      <c r="BB112" s="1825"/>
      <c r="BC112" s="1825"/>
      <c r="BD112" s="1825"/>
      <c r="BE112" s="1825"/>
      <c r="BF112" s="1825"/>
      <c r="BG112" s="1638"/>
    </row>
    <row customHeight="1" ht="0.75">
      <c r="A113" s="1169" t="s">
        <v>1027</v>
      </c>
      <c r="B113" s="1169"/>
      <c r="C113" s="1169"/>
      <c r="D113" s="1163"/>
      <c r="E113" s="1173"/>
      <c r="F113" s="2558"/>
      <c r="G113" s="2537"/>
      <c r="H113" s="2562"/>
      <c r="I113" s="2563"/>
      <c r="J113" s="2564"/>
      <c r="K113" s="2564"/>
      <c r="L113" s="2556"/>
      <c r="M113" s="2290"/>
      <c r="N113" s="2038"/>
      <c r="O113" s="2038"/>
      <c r="P113" s="2045"/>
      <c r="Q113" s="2038"/>
      <c r="R113" s="2038"/>
      <c r="S113" s="2038"/>
      <c r="T113" s="2038"/>
      <c r="U113" s="2038"/>
      <c r="V113" s="2038"/>
      <c r="W113" s="2038"/>
      <c r="X113" s="2038"/>
      <c r="Y113" s="2038"/>
      <c r="Z113" s="2038"/>
      <c r="AA113" s="2038"/>
      <c r="AB113" s="2038"/>
      <c r="AC113" s="2038"/>
      <c r="AD113" s="2038"/>
      <c r="AE113" s="2047"/>
      <c r="AF113" s="2560"/>
      <c r="AG113" s="2556"/>
      <c r="AH113" s="2556"/>
      <c r="AI113" s="2560"/>
      <c r="AJ113" s="2556"/>
      <c r="AK113" s="2556"/>
      <c r="AL113" s="1988"/>
      <c r="AM113" s="1825"/>
      <c r="AN113" s="1825"/>
      <c r="AO113" s="1825"/>
      <c r="AP113" s="1825"/>
      <c r="AQ113" s="1825"/>
      <c r="AR113" s="1825"/>
      <c r="AS113" s="1825"/>
      <c r="AT113" s="1825"/>
      <c r="AU113" s="1825"/>
      <c r="AV113" s="1825"/>
      <c r="AW113" s="1825"/>
      <c r="AX113" s="1825"/>
      <c r="AY113" s="1825"/>
      <c r="AZ113" s="1825"/>
      <c r="BA113" s="1825"/>
      <c r="BB113" s="1825"/>
      <c r="BC113" s="1825"/>
      <c r="BD113" s="1825"/>
      <c r="BE113" s="1825"/>
      <c r="BF113" s="1825"/>
      <c r="BG113" s="1638"/>
    </row>
    <row customHeight="1" ht="12">
      <c r="A114" s="1169" t="s">
        <v>1027</v>
      </c>
      <c r="B114" s="1169"/>
      <c r="C114" s="1169"/>
      <c r="D114" s="1163"/>
      <c r="E114" s="1173"/>
      <c r="F114" s="2559"/>
      <c r="G114" s="1193"/>
      <c r="H114" s="1193"/>
      <c r="I114" s="2557" t="s">
        <v>1058</v>
      </c>
      <c r="J114" s="2557"/>
      <c r="K114" s="2557"/>
      <c r="L114" s="1176"/>
      <c r="M114" s="1176"/>
      <c r="N114" s="1177"/>
      <c r="O114" s="1177"/>
      <c r="P114" s="1177"/>
      <c r="Q114" s="1177"/>
      <c r="R114" s="1177"/>
      <c r="S114" s="1177"/>
      <c r="T114" s="1177"/>
      <c r="U114" s="1177"/>
      <c r="V114" s="1177"/>
      <c r="W114" s="1177"/>
      <c r="X114" s="1177"/>
      <c r="Y114" s="1177"/>
      <c r="Z114" s="1177"/>
      <c r="AA114" s="1177"/>
      <c r="AB114" s="1177"/>
      <c r="AC114" s="1177"/>
      <c r="AD114" s="1177"/>
      <c r="AE114" s="1177"/>
      <c r="AF114" s="1177"/>
      <c r="AG114" s="1176"/>
      <c r="AH114" s="1176"/>
      <c r="AI114" s="1177"/>
      <c r="AJ114" s="1176"/>
      <c r="AK114" s="1177"/>
      <c r="AL114" s="1988"/>
      <c r="AM114" s="1825"/>
      <c r="AN114" s="1825"/>
      <c r="AO114" s="1825"/>
      <c r="AP114" s="1825"/>
      <c r="AQ114" s="1825"/>
      <c r="AR114" s="1825"/>
      <c r="AS114" s="1825"/>
      <c r="AT114" s="1825"/>
      <c r="AU114" s="1825"/>
      <c r="AV114" s="1825"/>
      <c r="AW114" s="1825"/>
      <c r="AX114" s="1825"/>
      <c r="AY114" s="1825"/>
      <c r="AZ114" s="1825"/>
      <c r="BA114" s="1825"/>
      <c r="BB114" s="1825"/>
      <c r="BC114" s="1825"/>
      <c r="BD114" s="1825"/>
      <c r="BE114" s="1825"/>
      <c r="BF114" s="1825"/>
      <c r="BG114" s="1638"/>
    </row>
    <row customHeight="1" ht="0.75">
      <c r="A115" s="1169" t="s">
        <v>1027</v>
      </c>
      <c r="B115" s="1169"/>
      <c r="C115" s="1169"/>
      <c r="D115" s="1163"/>
      <c r="E115" s="1173"/>
      <c r="F115" s="2558">
        <v>2034</v>
      </c>
      <c r="G115" s="2537"/>
      <c r="H115" s="2562" t="s">
        <v>377</v>
      </c>
      <c r="I115" s="2563"/>
      <c r="J115" s="2564"/>
      <c r="K115" s="2564"/>
      <c r="L115" s="2556"/>
      <c r="M115" s="2290"/>
      <c r="N115" s="2036"/>
      <c r="O115" s="2035"/>
      <c r="P115" s="2036"/>
      <c r="Q115" s="2036"/>
      <c r="R115" s="2036"/>
      <c r="S115" s="2036"/>
      <c r="T115" s="2036"/>
      <c r="U115" s="2036"/>
      <c r="V115" s="2036"/>
      <c r="W115" s="2036"/>
      <c r="X115" s="2036"/>
      <c r="Y115" s="2036"/>
      <c r="Z115" s="2036"/>
      <c r="AA115" s="2036"/>
      <c r="AB115" s="2036"/>
      <c r="AC115" s="2036"/>
      <c r="AD115" s="2036"/>
      <c r="AE115" s="2036"/>
      <c r="AF115" s="2560"/>
      <c r="AG115" s="2556"/>
      <c r="AH115" s="2556"/>
      <c r="AI115" s="2560"/>
      <c r="AJ115" s="2556"/>
      <c r="AK115" s="2556"/>
      <c r="AL115" s="1988"/>
      <c r="AM115" s="1825"/>
      <c r="AN115" s="1825"/>
      <c r="AO115" s="1825"/>
      <c r="AP115" s="1825"/>
      <c r="AQ115" s="1825"/>
      <c r="AR115" s="1825"/>
      <c r="AS115" s="1825"/>
      <c r="AT115" s="1825"/>
      <c r="AU115" s="1825"/>
      <c r="AV115" s="1825"/>
      <c r="AW115" s="1825"/>
      <c r="AX115" s="1825"/>
      <c r="AY115" s="1825"/>
      <c r="AZ115" s="1825"/>
      <c r="BA115" s="1825"/>
      <c r="BB115" s="1825"/>
      <c r="BC115" s="1825"/>
      <c r="BD115" s="1825"/>
      <c r="BE115" s="1825"/>
      <c r="BF115" s="1825"/>
      <c r="BG115" s="1638"/>
    </row>
    <row customHeight="1" ht="0.75">
      <c r="A116" s="1169" t="s">
        <v>1027</v>
      </c>
      <c r="B116" s="1169"/>
      <c r="C116" s="1169"/>
      <c r="D116" s="1163"/>
      <c r="E116" s="1173"/>
      <c r="F116" s="2558"/>
      <c r="G116" s="2537"/>
      <c r="H116" s="2562"/>
      <c r="I116" s="2563"/>
      <c r="J116" s="2564"/>
      <c r="K116" s="2564"/>
      <c r="L116" s="2556"/>
      <c r="M116" s="2290"/>
      <c r="N116" s="2565"/>
      <c r="O116" s="2566"/>
      <c r="P116" s="2610"/>
      <c r="Q116" s="2561"/>
      <c r="R116" s="2561"/>
      <c r="S116" s="2561"/>
      <c r="T116" s="2561"/>
      <c r="U116" s="2561"/>
      <c r="V116" s="2561"/>
      <c r="W116" s="2561"/>
      <c r="X116" s="2561"/>
      <c r="Y116" s="2561"/>
      <c r="Z116" s="2037"/>
      <c r="AA116" s="2038"/>
      <c r="AB116" s="2038"/>
      <c r="AC116" s="2039"/>
      <c r="AD116" s="2039"/>
      <c r="AE116" s="2040"/>
      <c r="AF116" s="2560"/>
      <c r="AG116" s="2556"/>
      <c r="AH116" s="2556"/>
      <c r="AI116" s="2560"/>
      <c r="AJ116" s="2556"/>
      <c r="AK116" s="2556"/>
      <c r="AL116" s="1988"/>
      <c r="AM116" s="1825"/>
      <c r="AN116" s="1825"/>
      <c r="AO116" s="1825"/>
      <c r="AP116" s="1825"/>
      <c r="AQ116" s="1825"/>
      <c r="AR116" s="1825"/>
      <c r="AS116" s="1825"/>
      <c r="AT116" s="1825"/>
      <c r="AU116" s="1825"/>
      <c r="AV116" s="1825"/>
      <c r="AW116" s="1825"/>
      <c r="AX116" s="1825"/>
      <c r="AY116" s="1825"/>
      <c r="AZ116" s="1825"/>
      <c r="BA116" s="1825"/>
      <c r="BB116" s="1825"/>
      <c r="BC116" s="1825"/>
      <c r="BD116" s="1825"/>
      <c r="BE116" s="1825"/>
      <c r="BF116" s="1825"/>
      <c r="BG116" s="1638"/>
    </row>
    <row customHeight="1" ht="0.75">
      <c r="A117" s="1169" t="s">
        <v>1027</v>
      </c>
      <c r="B117" s="1169"/>
      <c r="C117" s="1169"/>
      <c r="D117" s="1163"/>
      <c r="E117" s="1173"/>
      <c r="F117" s="2558"/>
      <c r="G117" s="2537"/>
      <c r="H117" s="2562"/>
      <c r="I117" s="2563"/>
      <c r="J117" s="2564"/>
      <c r="K117" s="2564"/>
      <c r="L117" s="2556"/>
      <c r="M117" s="2290"/>
      <c r="N117" s="2565"/>
      <c r="O117" s="2566"/>
      <c r="P117" s="2611"/>
      <c r="Q117" s="2561"/>
      <c r="R117" s="2561"/>
      <c r="S117" s="2561"/>
      <c r="T117" s="2561"/>
      <c r="U117" s="2561"/>
      <c r="V117" s="2561"/>
      <c r="W117" s="2561"/>
      <c r="X117" s="2561"/>
      <c r="Y117" s="2561"/>
      <c r="Z117" s="2041"/>
      <c r="AA117" s="2042"/>
      <c r="AB117" s="2043"/>
      <c r="AC117" s="2044"/>
      <c r="AD117" s="2043"/>
      <c r="AE117" s="2044"/>
      <c r="AF117" s="2560"/>
      <c r="AG117" s="2556"/>
      <c r="AH117" s="2556"/>
      <c r="AI117" s="2560"/>
      <c r="AJ117" s="2556"/>
      <c r="AK117" s="2556"/>
      <c r="AL117" s="1988"/>
      <c r="AM117" s="1825"/>
      <c r="AN117" s="1825"/>
      <c r="AO117" s="1825"/>
      <c r="AP117" s="1825"/>
      <c r="AQ117" s="1825"/>
      <c r="AR117" s="1825"/>
      <c r="AS117" s="1825"/>
      <c r="AT117" s="1825"/>
      <c r="AU117" s="1825"/>
      <c r="AV117" s="1825"/>
      <c r="AW117" s="1825"/>
      <c r="AX117" s="1825"/>
      <c r="AY117" s="1825"/>
      <c r="AZ117" s="1825"/>
      <c r="BA117" s="1825"/>
      <c r="BB117" s="1825"/>
      <c r="BC117" s="1825"/>
      <c r="BD117" s="1825"/>
      <c r="BE117" s="1825"/>
      <c r="BF117" s="1825"/>
      <c r="BG117" s="1638"/>
    </row>
    <row customHeight="1" ht="0.75">
      <c r="A118" s="1169" t="s">
        <v>1027</v>
      </c>
      <c r="B118" s="1169"/>
      <c r="C118" s="1169"/>
      <c r="D118" s="1163"/>
      <c r="E118" s="1173"/>
      <c r="F118" s="2558"/>
      <c r="G118" s="2537"/>
      <c r="H118" s="2562"/>
      <c r="I118" s="2563"/>
      <c r="J118" s="2564"/>
      <c r="K118" s="2564"/>
      <c r="L118" s="2556"/>
      <c r="M118" s="2290"/>
      <c r="N118" s="2565"/>
      <c r="O118" s="2566"/>
      <c r="P118" s="2612"/>
      <c r="Q118" s="2561"/>
      <c r="R118" s="2561"/>
      <c r="S118" s="2561"/>
      <c r="T118" s="2561"/>
      <c r="U118" s="2561"/>
      <c r="V118" s="2561"/>
      <c r="W118" s="2561"/>
      <c r="X118" s="2561"/>
      <c r="Y118" s="2561"/>
      <c r="Z118" s="2037"/>
      <c r="AA118" s="2038"/>
      <c r="AB118" s="2045"/>
      <c r="AC118" s="2039"/>
      <c r="AD118" s="2039"/>
      <c r="AE118" s="2046"/>
      <c r="AF118" s="2560"/>
      <c r="AG118" s="2556"/>
      <c r="AH118" s="2556"/>
      <c r="AI118" s="2560"/>
      <c r="AJ118" s="2556"/>
      <c r="AK118" s="2556"/>
      <c r="AL118" s="1988"/>
      <c r="AM118" s="1825"/>
      <c r="AN118" s="1825"/>
      <c r="AO118" s="1825"/>
      <c r="AP118" s="1825"/>
      <c r="AQ118" s="1825"/>
      <c r="AR118" s="1825"/>
      <c r="AS118" s="1825"/>
      <c r="AT118" s="1825"/>
      <c r="AU118" s="1825"/>
      <c r="AV118" s="1825"/>
      <c r="AW118" s="1825"/>
      <c r="AX118" s="1825"/>
      <c r="AY118" s="1825"/>
      <c r="AZ118" s="1825"/>
      <c r="BA118" s="1825"/>
      <c r="BB118" s="1825"/>
      <c r="BC118" s="1825"/>
      <c r="BD118" s="1825"/>
      <c r="BE118" s="1825"/>
      <c r="BF118" s="1825"/>
      <c r="BG118" s="1638"/>
    </row>
    <row customHeight="1" ht="0.75">
      <c r="A119" s="1169" t="s">
        <v>1027</v>
      </c>
      <c r="B119" s="1169"/>
      <c r="C119" s="1169"/>
      <c r="D119" s="1163"/>
      <c r="E119" s="1173"/>
      <c r="F119" s="2558"/>
      <c r="G119" s="2537"/>
      <c r="H119" s="2562"/>
      <c r="I119" s="2563"/>
      <c r="J119" s="2564"/>
      <c r="K119" s="2564"/>
      <c r="L119" s="2556"/>
      <c r="M119" s="2290"/>
      <c r="N119" s="2038"/>
      <c r="O119" s="2038"/>
      <c r="P119" s="2045"/>
      <c r="Q119" s="2038"/>
      <c r="R119" s="2038"/>
      <c r="S119" s="2038"/>
      <c r="T119" s="2038"/>
      <c r="U119" s="2038"/>
      <c r="V119" s="2038"/>
      <c r="W119" s="2038"/>
      <c r="X119" s="2038"/>
      <c r="Y119" s="2038"/>
      <c r="Z119" s="2038"/>
      <c r="AA119" s="2038"/>
      <c r="AB119" s="2038"/>
      <c r="AC119" s="2038"/>
      <c r="AD119" s="2038"/>
      <c r="AE119" s="2047"/>
      <c r="AF119" s="2560"/>
      <c r="AG119" s="2556"/>
      <c r="AH119" s="2556"/>
      <c r="AI119" s="2560"/>
      <c r="AJ119" s="2556"/>
      <c r="AK119" s="2556"/>
      <c r="AL119" s="1988"/>
      <c r="AM119" s="1825"/>
      <c r="AN119" s="1825"/>
      <c r="AO119" s="1825"/>
      <c r="AP119" s="1825"/>
      <c r="AQ119" s="1825"/>
      <c r="AR119" s="1825"/>
      <c r="AS119" s="1825"/>
      <c r="AT119" s="1825"/>
      <c r="AU119" s="1825"/>
      <c r="AV119" s="1825"/>
      <c r="AW119" s="1825"/>
      <c r="AX119" s="1825"/>
      <c r="AY119" s="1825"/>
      <c r="AZ119" s="1825"/>
      <c r="BA119" s="1825"/>
      <c r="BB119" s="1825"/>
      <c r="BC119" s="1825"/>
      <c r="BD119" s="1825"/>
      <c r="BE119" s="1825"/>
      <c r="BF119" s="1825"/>
      <c r="BG119" s="1638"/>
    </row>
    <row customHeight="1" ht="12">
      <c r="A120" s="1169" t="s">
        <v>1027</v>
      </c>
      <c r="B120" s="1169"/>
      <c r="C120" s="1169"/>
      <c r="D120" s="1163"/>
      <c r="E120" s="1173"/>
      <c r="F120" s="2559"/>
      <c r="G120" s="1193"/>
      <c r="H120" s="1193"/>
      <c r="I120" s="2557" t="s">
        <v>1058</v>
      </c>
      <c r="J120" s="2557"/>
      <c r="K120" s="2557"/>
      <c r="L120" s="1176"/>
      <c r="M120" s="1176"/>
      <c r="N120" s="1177"/>
      <c r="O120" s="1177"/>
      <c r="P120" s="1177"/>
      <c r="Q120" s="1177"/>
      <c r="R120" s="1177"/>
      <c r="S120" s="1177"/>
      <c r="T120" s="1177"/>
      <c r="U120" s="1177"/>
      <c r="V120" s="1177"/>
      <c r="W120" s="1177"/>
      <c r="X120" s="1177"/>
      <c r="Y120" s="1177"/>
      <c r="Z120" s="1177"/>
      <c r="AA120" s="1177"/>
      <c r="AB120" s="1177"/>
      <c r="AC120" s="1177"/>
      <c r="AD120" s="1177"/>
      <c r="AE120" s="1177"/>
      <c r="AF120" s="1177"/>
      <c r="AG120" s="1176"/>
      <c r="AH120" s="1176"/>
      <c r="AI120" s="1177"/>
      <c r="AJ120" s="1176"/>
      <c r="AK120" s="1177"/>
      <c r="AL120" s="1988"/>
      <c r="AM120" s="1825"/>
      <c r="AN120" s="1825"/>
      <c r="AO120" s="1825"/>
      <c r="AP120" s="1825"/>
      <c r="AQ120" s="1825"/>
      <c r="AR120" s="1825"/>
      <c r="AS120" s="1825"/>
      <c r="AT120" s="1825"/>
      <c r="AU120" s="1825"/>
      <c r="AV120" s="1825"/>
      <c r="AW120" s="1825"/>
      <c r="AX120" s="1825"/>
      <c r="AY120" s="1825"/>
      <c r="AZ120" s="1825"/>
      <c r="BA120" s="1825"/>
      <c r="BB120" s="1825"/>
      <c r="BC120" s="1825"/>
      <c r="BD120" s="1825"/>
      <c r="BE120" s="1825"/>
      <c r="BF120" s="1825"/>
      <c r="BG120" s="1638"/>
    </row>
    <row customHeight="1" ht="0.75">
      <c r="A121" s="1169" t="s">
        <v>1027</v>
      </c>
      <c r="B121" s="1169"/>
      <c r="C121" s="1169"/>
      <c r="D121" s="1163"/>
      <c r="E121" s="1173"/>
      <c r="F121" s="2558">
        <v>2035</v>
      </c>
      <c r="G121" s="2537"/>
      <c r="H121" s="2562" t="s">
        <v>377</v>
      </c>
      <c r="I121" s="2563"/>
      <c r="J121" s="2564"/>
      <c r="K121" s="2564"/>
      <c r="L121" s="2556"/>
      <c r="M121" s="2290"/>
      <c r="N121" s="2036"/>
      <c r="O121" s="2035"/>
      <c r="P121" s="2036"/>
      <c r="Q121" s="2036"/>
      <c r="R121" s="2036"/>
      <c r="S121" s="2036"/>
      <c r="T121" s="2036"/>
      <c r="U121" s="2036"/>
      <c r="V121" s="2036"/>
      <c r="W121" s="2036"/>
      <c r="X121" s="2036"/>
      <c r="Y121" s="2036"/>
      <c r="Z121" s="2036"/>
      <c r="AA121" s="2036"/>
      <c r="AB121" s="2036"/>
      <c r="AC121" s="2036"/>
      <c r="AD121" s="2036"/>
      <c r="AE121" s="2036"/>
      <c r="AF121" s="2560"/>
      <c r="AG121" s="2556"/>
      <c r="AH121" s="2556"/>
      <c r="AI121" s="2560"/>
      <c r="AJ121" s="2556"/>
      <c r="AK121" s="2556"/>
      <c r="AL121" s="1988"/>
      <c r="AM121" s="1825"/>
      <c r="AN121" s="1825"/>
      <c r="AO121" s="1825"/>
      <c r="AP121" s="1825"/>
      <c r="AQ121" s="1825"/>
      <c r="AR121" s="1825"/>
      <c r="AS121" s="1825"/>
      <c r="AT121" s="1825"/>
      <c r="AU121" s="1825"/>
      <c r="AV121" s="1825"/>
      <c r="AW121" s="1825"/>
      <c r="AX121" s="1825"/>
      <c r="AY121" s="1825"/>
      <c r="AZ121" s="1825"/>
      <c r="BA121" s="1825"/>
      <c r="BB121" s="1825"/>
      <c r="BC121" s="1825"/>
      <c r="BD121" s="1825"/>
      <c r="BE121" s="1825"/>
      <c r="BF121" s="1825"/>
      <c r="BG121" s="1638"/>
    </row>
    <row customHeight="1" ht="0.75">
      <c r="A122" s="1169" t="s">
        <v>1027</v>
      </c>
      <c r="B122" s="1169"/>
      <c r="C122" s="1169"/>
      <c r="D122" s="1163"/>
      <c r="E122" s="1173"/>
      <c r="F122" s="2558"/>
      <c r="G122" s="2537"/>
      <c r="H122" s="2562"/>
      <c r="I122" s="2563"/>
      <c r="J122" s="2564"/>
      <c r="K122" s="2564"/>
      <c r="L122" s="2556"/>
      <c r="M122" s="2290"/>
      <c r="N122" s="2565"/>
      <c r="O122" s="2566"/>
      <c r="P122" s="2610"/>
      <c r="Q122" s="2561"/>
      <c r="R122" s="2561"/>
      <c r="S122" s="2561"/>
      <c r="T122" s="2561"/>
      <c r="U122" s="2561"/>
      <c r="V122" s="2561"/>
      <c r="W122" s="2561"/>
      <c r="X122" s="2561"/>
      <c r="Y122" s="2561"/>
      <c r="Z122" s="2037"/>
      <c r="AA122" s="2038"/>
      <c r="AB122" s="2038"/>
      <c r="AC122" s="2039"/>
      <c r="AD122" s="2039"/>
      <c r="AE122" s="2040"/>
      <c r="AF122" s="2560"/>
      <c r="AG122" s="2556"/>
      <c r="AH122" s="2556"/>
      <c r="AI122" s="2560"/>
      <c r="AJ122" s="2556"/>
      <c r="AK122" s="2556"/>
      <c r="AL122" s="1988"/>
      <c r="AM122" s="1825"/>
      <c r="AN122" s="1825"/>
      <c r="AO122" s="1825"/>
      <c r="AP122" s="1825"/>
      <c r="AQ122" s="1825"/>
      <c r="AR122" s="1825"/>
      <c r="AS122" s="1825"/>
      <c r="AT122" s="1825"/>
      <c r="AU122" s="1825"/>
      <c r="AV122" s="1825"/>
      <c r="AW122" s="1825"/>
      <c r="AX122" s="1825"/>
      <c r="AY122" s="1825"/>
      <c r="AZ122" s="1825"/>
      <c r="BA122" s="1825"/>
      <c r="BB122" s="1825"/>
      <c r="BC122" s="1825"/>
      <c r="BD122" s="1825"/>
      <c r="BE122" s="1825"/>
      <c r="BF122" s="1825"/>
      <c r="BG122" s="1638"/>
    </row>
    <row customHeight="1" ht="0.75">
      <c r="A123" s="1169" t="s">
        <v>1027</v>
      </c>
      <c r="B123" s="1169"/>
      <c r="C123" s="1169"/>
      <c r="D123" s="1163"/>
      <c r="E123" s="1173"/>
      <c r="F123" s="2558"/>
      <c r="G123" s="2537"/>
      <c r="H123" s="2562"/>
      <c r="I123" s="2563"/>
      <c r="J123" s="2564"/>
      <c r="K123" s="2564"/>
      <c r="L123" s="2556"/>
      <c r="M123" s="2290"/>
      <c r="N123" s="2565"/>
      <c r="O123" s="2566"/>
      <c r="P123" s="2611"/>
      <c r="Q123" s="2561"/>
      <c r="R123" s="2561"/>
      <c r="S123" s="2561"/>
      <c r="T123" s="2561"/>
      <c r="U123" s="2561"/>
      <c r="V123" s="2561"/>
      <c r="W123" s="2561"/>
      <c r="X123" s="2561"/>
      <c r="Y123" s="2561"/>
      <c r="Z123" s="2041"/>
      <c r="AA123" s="2042"/>
      <c r="AB123" s="2043"/>
      <c r="AC123" s="2044"/>
      <c r="AD123" s="2043"/>
      <c r="AE123" s="2044"/>
      <c r="AF123" s="2560"/>
      <c r="AG123" s="2556"/>
      <c r="AH123" s="2556"/>
      <c r="AI123" s="2560"/>
      <c r="AJ123" s="2556"/>
      <c r="AK123" s="2556"/>
      <c r="AL123" s="1988"/>
      <c r="AM123" s="1825"/>
      <c r="AN123" s="1825"/>
      <c r="AO123" s="1825"/>
      <c r="AP123" s="1825"/>
      <c r="AQ123" s="1825"/>
      <c r="AR123" s="1825"/>
      <c r="AS123" s="1825"/>
      <c r="AT123" s="1825"/>
      <c r="AU123" s="1825"/>
      <c r="AV123" s="1825"/>
      <c r="AW123" s="1825"/>
      <c r="AX123" s="1825"/>
      <c r="AY123" s="1825"/>
      <c r="AZ123" s="1825"/>
      <c r="BA123" s="1825"/>
      <c r="BB123" s="1825"/>
      <c r="BC123" s="1825"/>
      <c r="BD123" s="1825"/>
      <c r="BE123" s="1825"/>
      <c r="BF123" s="1825"/>
      <c r="BG123" s="1638"/>
    </row>
    <row customHeight="1" ht="0.75">
      <c r="A124" s="1169" t="s">
        <v>1027</v>
      </c>
      <c r="B124" s="1169"/>
      <c r="C124" s="1169"/>
      <c r="D124" s="1163"/>
      <c r="E124" s="1173"/>
      <c r="F124" s="2558"/>
      <c r="G124" s="2537"/>
      <c r="H124" s="2562"/>
      <c r="I124" s="2563"/>
      <c r="J124" s="2564"/>
      <c r="K124" s="2564"/>
      <c r="L124" s="2556"/>
      <c r="M124" s="2290"/>
      <c r="N124" s="2565"/>
      <c r="O124" s="2566"/>
      <c r="P124" s="2612"/>
      <c r="Q124" s="2561"/>
      <c r="R124" s="2561"/>
      <c r="S124" s="2561"/>
      <c r="T124" s="2561"/>
      <c r="U124" s="2561"/>
      <c r="V124" s="2561"/>
      <c r="W124" s="2561"/>
      <c r="X124" s="2561"/>
      <c r="Y124" s="2561"/>
      <c r="Z124" s="2037"/>
      <c r="AA124" s="2038"/>
      <c r="AB124" s="2045"/>
      <c r="AC124" s="2039"/>
      <c r="AD124" s="2039"/>
      <c r="AE124" s="2046"/>
      <c r="AF124" s="2560"/>
      <c r="AG124" s="2556"/>
      <c r="AH124" s="2556"/>
      <c r="AI124" s="2560"/>
      <c r="AJ124" s="2556"/>
      <c r="AK124" s="2556"/>
      <c r="AL124" s="1988"/>
      <c r="AM124" s="1825"/>
      <c r="AN124" s="1825"/>
      <c r="AO124" s="1825"/>
      <c r="AP124" s="1825"/>
      <c r="AQ124" s="1825"/>
      <c r="AR124" s="1825"/>
      <c r="AS124" s="1825"/>
      <c r="AT124" s="1825"/>
      <c r="AU124" s="1825"/>
      <c r="AV124" s="1825"/>
      <c r="AW124" s="1825"/>
      <c r="AX124" s="1825"/>
      <c r="AY124" s="1825"/>
      <c r="AZ124" s="1825"/>
      <c r="BA124" s="1825"/>
      <c r="BB124" s="1825"/>
      <c r="BC124" s="1825"/>
      <c r="BD124" s="1825"/>
      <c r="BE124" s="1825"/>
      <c r="BF124" s="1825"/>
      <c r="BG124" s="1638"/>
    </row>
    <row customHeight="1" ht="0.75">
      <c r="A125" s="1169" t="s">
        <v>1027</v>
      </c>
      <c r="B125" s="1169"/>
      <c r="C125" s="1169"/>
      <c r="D125" s="1163"/>
      <c r="E125" s="1173"/>
      <c r="F125" s="2558"/>
      <c r="G125" s="2537"/>
      <c r="H125" s="2562"/>
      <c r="I125" s="2563"/>
      <c r="J125" s="2564"/>
      <c r="K125" s="2564"/>
      <c r="L125" s="2556"/>
      <c r="M125" s="2290"/>
      <c r="N125" s="2038"/>
      <c r="O125" s="2038"/>
      <c r="P125" s="2045"/>
      <c r="Q125" s="2038"/>
      <c r="R125" s="2038"/>
      <c r="S125" s="2038"/>
      <c r="T125" s="2038"/>
      <c r="U125" s="2038"/>
      <c r="V125" s="2038"/>
      <c r="W125" s="2038"/>
      <c r="X125" s="2038"/>
      <c r="Y125" s="2038"/>
      <c r="Z125" s="2038"/>
      <c r="AA125" s="2038"/>
      <c r="AB125" s="2038"/>
      <c r="AC125" s="2038"/>
      <c r="AD125" s="2038"/>
      <c r="AE125" s="2047"/>
      <c r="AF125" s="2560"/>
      <c r="AG125" s="2556"/>
      <c r="AH125" s="2556"/>
      <c r="AI125" s="2560"/>
      <c r="AJ125" s="2556"/>
      <c r="AK125" s="2556"/>
      <c r="AL125" s="1988"/>
      <c r="AM125" s="1825"/>
      <c r="AN125" s="1825"/>
      <c r="AO125" s="1825"/>
      <c r="AP125" s="1825"/>
      <c r="AQ125" s="1825"/>
      <c r="AR125" s="1825"/>
      <c r="AS125" s="1825"/>
      <c r="AT125" s="1825"/>
      <c r="AU125" s="1825"/>
      <c r="AV125" s="1825"/>
      <c r="AW125" s="1825"/>
      <c r="AX125" s="1825"/>
      <c r="AY125" s="1825"/>
      <c r="AZ125" s="1825"/>
      <c r="BA125" s="1825"/>
      <c r="BB125" s="1825"/>
      <c r="BC125" s="1825"/>
      <c r="BD125" s="1825"/>
      <c r="BE125" s="1825"/>
      <c r="BF125" s="1825"/>
      <c r="BG125" s="1638"/>
    </row>
    <row customHeight="1" ht="12">
      <c r="A126" s="1169" t="s">
        <v>1027</v>
      </c>
      <c r="B126" s="1169"/>
      <c r="C126" s="1169"/>
      <c r="D126" s="1163"/>
      <c r="E126" s="1173"/>
      <c r="F126" s="2559"/>
      <c r="G126" s="1193"/>
      <c r="H126" s="1193"/>
      <c r="I126" s="2557" t="s">
        <v>1058</v>
      </c>
      <c r="J126" s="2557"/>
      <c r="K126" s="2557"/>
      <c r="L126" s="1176"/>
      <c r="M126" s="1176"/>
      <c r="N126" s="1177"/>
      <c r="O126" s="1177"/>
      <c r="P126" s="1177"/>
      <c r="Q126" s="1177"/>
      <c r="R126" s="1177"/>
      <c r="S126" s="1177"/>
      <c r="T126" s="1177"/>
      <c r="U126" s="1177"/>
      <c r="V126" s="1177"/>
      <c r="W126" s="1177"/>
      <c r="X126" s="1177"/>
      <c r="Y126" s="1177"/>
      <c r="Z126" s="1177"/>
      <c r="AA126" s="1177"/>
      <c r="AB126" s="1177"/>
      <c r="AC126" s="1177"/>
      <c r="AD126" s="1177"/>
      <c r="AE126" s="1177"/>
      <c r="AF126" s="1177"/>
      <c r="AG126" s="1176"/>
      <c r="AH126" s="1176"/>
      <c r="AI126" s="1177"/>
      <c r="AJ126" s="1176"/>
      <c r="AK126" s="1177"/>
      <c r="AL126" s="1988"/>
      <c r="AM126" s="1825"/>
      <c r="AN126" s="1825"/>
      <c r="AO126" s="1825"/>
      <c r="AP126" s="1825"/>
      <c r="AQ126" s="1825"/>
      <c r="AR126" s="1825"/>
      <c r="AS126" s="1825"/>
      <c r="AT126" s="1825"/>
      <c r="AU126" s="1825"/>
      <c r="AV126" s="1825"/>
      <c r="AW126" s="1825"/>
      <c r="AX126" s="1825"/>
      <c r="AY126" s="1825"/>
      <c r="AZ126" s="1825"/>
      <c r="BA126" s="1825"/>
      <c r="BB126" s="1825"/>
      <c r="BC126" s="1825"/>
      <c r="BD126" s="1825"/>
      <c r="BE126" s="1825"/>
      <c r="BF126" s="1825"/>
      <c r="BG126" s="1638"/>
    </row>
    <row customHeight="1" ht="0.75">
      <c r="A127" s="1169" t="s">
        <v>1027</v>
      </c>
      <c r="B127" s="1169"/>
      <c r="C127" s="1169"/>
      <c r="D127" s="1163"/>
      <c r="E127" s="1173"/>
      <c r="F127" s="2558">
        <v>2036</v>
      </c>
      <c r="G127" s="2537"/>
      <c r="H127" s="2562" t="s">
        <v>377</v>
      </c>
      <c r="I127" s="2563"/>
      <c r="J127" s="2564"/>
      <c r="K127" s="2564"/>
      <c r="L127" s="2556"/>
      <c r="M127" s="2290"/>
      <c r="N127" s="2036"/>
      <c r="O127" s="2035"/>
      <c r="P127" s="2036"/>
      <c r="Q127" s="2036"/>
      <c r="R127" s="2036"/>
      <c r="S127" s="2036"/>
      <c r="T127" s="2036"/>
      <c r="U127" s="2036"/>
      <c r="V127" s="2036"/>
      <c r="W127" s="2036"/>
      <c r="X127" s="2036"/>
      <c r="Y127" s="2036"/>
      <c r="Z127" s="2036"/>
      <c r="AA127" s="2036"/>
      <c r="AB127" s="2036"/>
      <c r="AC127" s="2036"/>
      <c r="AD127" s="2036"/>
      <c r="AE127" s="2036"/>
      <c r="AF127" s="2560"/>
      <c r="AG127" s="2556"/>
      <c r="AH127" s="2556"/>
      <c r="AI127" s="2560"/>
      <c r="AJ127" s="2556"/>
      <c r="AK127" s="2556"/>
      <c r="AL127" s="1988"/>
      <c r="AM127" s="1825"/>
      <c r="AN127" s="1825"/>
      <c r="AO127" s="1825"/>
      <c r="AP127" s="1825"/>
      <c r="AQ127" s="1825"/>
      <c r="AR127" s="1825"/>
      <c r="AS127" s="1825"/>
      <c r="AT127" s="1825"/>
      <c r="AU127" s="1825"/>
      <c r="AV127" s="1825"/>
      <c r="AW127" s="1825"/>
      <c r="AX127" s="1825"/>
      <c r="AY127" s="1825"/>
      <c r="AZ127" s="1825"/>
      <c r="BA127" s="1825"/>
      <c r="BB127" s="1825"/>
      <c r="BC127" s="1825"/>
      <c r="BD127" s="1825"/>
      <c r="BE127" s="1825"/>
      <c r="BF127" s="1825"/>
      <c r="BG127" s="1638"/>
    </row>
    <row customHeight="1" ht="0.75">
      <c r="A128" s="1169" t="s">
        <v>1027</v>
      </c>
      <c r="B128" s="1169"/>
      <c r="C128" s="1169"/>
      <c r="D128" s="1163"/>
      <c r="E128" s="1173"/>
      <c r="F128" s="2558"/>
      <c r="G128" s="2537"/>
      <c r="H128" s="2562"/>
      <c r="I128" s="2563"/>
      <c r="J128" s="2564"/>
      <c r="K128" s="2564"/>
      <c r="L128" s="2556"/>
      <c r="M128" s="2290"/>
      <c r="N128" s="2565"/>
      <c r="O128" s="2566"/>
      <c r="P128" s="2610"/>
      <c r="Q128" s="2561"/>
      <c r="R128" s="2561"/>
      <c r="S128" s="2561"/>
      <c r="T128" s="2561"/>
      <c r="U128" s="2561"/>
      <c r="V128" s="2561"/>
      <c r="W128" s="2561"/>
      <c r="X128" s="2561"/>
      <c r="Y128" s="2561"/>
      <c r="Z128" s="2037"/>
      <c r="AA128" s="2038"/>
      <c r="AB128" s="2038"/>
      <c r="AC128" s="2039"/>
      <c r="AD128" s="2039"/>
      <c r="AE128" s="2040"/>
      <c r="AF128" s="2560"/>
      <c r="AG128" s="2556"/>
      <c r="AH128" s="2556"/>
      <c r="AI128" s="2560"/>
      <c r="AJ128" s="2556"/>
      <c r="AK128" s="2556"/>
      <c r="AL128" s="1988"/>
      <c r="AM128" s="1825"/>
      <c r="AN128" s="1825"/>
      <c r="AO128" s="1825"/>
      <c r="AP128" s="1825"/>
      <c r="AQ128" s="1825"/>
      <c r="AR128" s="1825"/>
      <c r="AS128" s="1825"/>
      <c r="AT128" s="1825"/>
      <c r="AU128" s="1825"/>
      <c r="AV128" s="1825"/>
      <c r="AW128" s="1825"/>
      <c r="AX128" s="1825"/>
      <c r="AY128" s="1825"/>
      <c r="AZ128" s="1825"/>
      <c r="BA128" s="1825"/>
      <c r="BB128" s="1825"/>
      <c r="BC128" s="1825"/>
      <c r="BD128" s="1825"/>
      <c r="BE128" s="1825"/>
      <c r="BF128" s="1825"/>
      <c r="BG128" s="1638"/>
    </row>
    <row customHeight="1" ht="0.75">
      <c r="A129" s="1169" t="s">
        <v>1027</v>
      </c>
      <c r="B129" s="1169"/>
      <c r="C129" s="1169"/>
      <c r="D129" s="1163"/>
      <c r="E129" s="1173"/>
      <c r="F129" s="2558"/>
      <c r="G129" s="2537"/>
      <c r="H129" s="2562"/>
      <c r="I129" s="2563"/>
      <c r="J129" s="2564"/>
      <c r="K129" s="2564"/>
      <c r="L129" s="2556"/>
      <c r="M129" s="2290"/>
      <c r="N129" s="2565"/>
      <c r="O129" s="2566"/>
      <c r="P129" s="2611"/>
      <c r="Q129" s="2561"/>
      <c r="R129" s="2561"/>
      <c r="S129" s="2561"/>
      <c r="T129" s="2561"/>
      <c r="U129" s="2561"/>
      <c r="V129" s="2561"/>
      <c r="W129" s="2561"/>
      <c r="X129" s="2561"/>
      <c r="Y129" s="2561"/>
      <c r="Z129" s="2041"/>
      <c r="AA129" s="2042"/>
      <c r="AB129" s="2043"/>
      <c r="AC129" s="2044"/>
      <c r="AD129" s="2043"/>
      <c r="AE129" s="2044"/>
      <c r="AF129" s="2560"/>
      <c r="AG129" s="2556"/>
      <c r="AH129" s="2556"/>
      <c r="AI129" s="2560"/>
      <c r="AJ129" s="2556"/>
      <c r="AK129" s="2556"/>
      <c r="AL129" s="1988"/>
      <c r="AM129" s="1825"/>
      <c r="AN129" s="1825"/>
      <c r="AO129" s="1825"/>
      <c r="AP129" s="1825"/>
      <c r="AQ129" s="1825"/>
      <c r="AR129" s="1825"/>
      <c r="AS129" s="1825"/>
      <c r="AT129" s="1825"/>
      <c r="AU129" s="1825"/>
      <c r="AV129" s="1825"/>
      <c r="AW129" s="1825"/>
      <c r="AX129" s="1825"/>
      <c r="AY129" s="1825"/>
      <c r="AZ129" s="1825"/>
      <c r="BA129" s="1825"/>
      <c r="BB129" s="1825"/>
      <c r="BC129" s="1825"/>
      <c r="BD129" s="1825"/>
      <c r="BE129" s="1825"/>
      <c r="BF129" s="1825"/>
      <c r="BG129" s="1638"/>
    </row>
    <row customHeight="1" ht="0.75">
      <c r="A130" s="1169" t="s">
        <v>1027</v>
      </c>
      <c r="B130" s="1169"/>
      <c r="C130" s="1169"/>
      <c r="D130" s="1163"/>
      <c r="E130" s="1173"/>
      <c r="F130" s="2558"/>
      <c r="G130" s="2537"/>
      <c r="H130" s="2562"/>
      <c r="I130" s="2563"/>
      <c r="J130" s="2564"/>
      <c r="K130" s="2564"/>
      <c r="L130" s="2556"/>
      <c r="M130" s="2290"/>
      <c r="N130" s="2565"/>
      <c r="O130" s="2566"/>
      <c r="P130" s="2612"/>
      <c r="Q130" s="2561"/>
      <c r="R130" s="2561"/>
      <c r="S130" s="2561"/>
      <c r="T130" s="2561"/>
      <c r="U130" s="2561"/>
      <c r="V130" s="2561"/>
      <c r="W130" s="2561"/>
      <c r="X130" s="2561"/>
      <c r="Y130" s="2561"/>
      <c r="Z130" s="2037"/>
      <c r="AA130" s="2038"/>
      <c r="AB130" s="2045"/>
      <c r="AC130" s="2039"/>
      <c r="AD130" s="2039"/>
      <c r="AE130" s="2046"/>
      <c r="AF130" s="2560"/>
      <c r="AG130" s="2556"/>
      <c r="AH130" s="2556"/>
      <c r="AI130" s="2560"/>
      <c r="AJ130" s="2556"/>
      <c r="AK130" s="2556"/>
      <c r="AL130" s="1988"/>
      <c r="AM130" s="1825"/>
      <c r="AN130" s="1825"/>
      <c r="AO130" s="1825"/>
      <c r="AP130" s="1825"/>
      <c r="AQ130" s="1825"/>
      <c r="AR130" s="1825"/>
      <c r="AS130" s="1825"/>
      <c r="AT130" s="1825"/>
      <c r="AU130" s="1825"/>
      <c r="AV130" s="1825"/>
      <c r="AW130" s="1825"/>
      <c r="AX130" s="1825"/>
      <c r="AY130" s="1825"/>
      <c r="AZ130" s="1825"/>
      <c r="BA130" s="1825"/>
      <c r="BB130" s="1825"/>
      <c r="BC130" s="1825"/>
      <c r="BD130" s="1825"/>
      <c r="BE130" s="1825"/>
      <c r="BF130" s="1825"/>
      <c r="BG130" s="1638"/>
    </row>
    <row customHeight="1" ht="0.75">
      <c r="A131" s="1169" t="s">
        <v>1027</v>
      </c>
      <c r="B131" s="1169"/>
      <c r="C131" s="1169"/>
      <c r="D131" s="1163"/>
      <c r="E131" s="1173"/>
      <c r="F131" s="2558"/>
      <c r="G131" s="2537"/>
      <c r="H131" s="2562"/>
      <c r="I131" s="2563"/>
      <c r="J131" s="2564"/>
      <c r="K131" s="2564"/>
      <c r="L131" s="2556"/>
      <c r="M131" s="2290"/>
      <c r="N131" s="2038"/>
      <c r="O131" s="2038"/>
      <c r="P131" s="2045"/>
      <c r="Q131" s="2038"/>
      <c r="R131" s="2038"/>
      <c r="S131" s="2038"/>
      <c r="T131" s="2038"/>
      <c r="U131" s="2038"/>
      <c r="V131" s="2038"/>
      <c r="W131" s="2038"/>
      <c r="X131" s="2038"/>
      <c r="Y131" s="2038"/>
      <c r="Z131" s="2038"/>
      <c r="AA131" s="2038"/>
      <c r="AB131" s="2038"/>
      <c r="AC131" s="2038"/>
      <c r="AD131" s="2038"/>
      <c r="AE131" s="2047"/>
      <c r="AF131" s="2560"/>
      <c r="AG131" s="2556"/>
      <c r="AH131" s="2556"/>
      <c r="AI131" s="2560"/>
      <c r="AJ131" s="2556"/>
      <c r="AK131" s="2556"/>
      <c r="AL131" s="1988"/>
      <c r="AM131" s="1825"/>
      <c r="AN131" s="1825"/>
      <c r="AO131" s="1825"/>
      <c r="AP131" s="1825"/>
      <c r="AQ131" s="1825"/>
      <c r="AR131" s="1825"/>
      <c r="AS131" s="1825"/>
      <c r="AT131" s="1825"/>
      <c r="AU131" s="1825"/>
      <c r="AV131" s="1825"/>
      <c r="AW131" s="1825"/>
      <c r="AX131" s="1825"/>
      <c r="AY131" s="1825"/>
      <c r="AZ131" s="1825"/>
      <c r="BA131" s="1825"/>
      <c r="BB131" s="1825"/>
      <c r="BC131" s="1825"/>
      <c r="BD131" s="1825"/>
      <c r="BE131" s="1825"/>
      <c r="BF131" s="1825"/>
      <c r="BG131" s="1638"/>
    </row>
    <row customHeight="1" ht="12">
      <c r="A132" s="1169" t="s">
        <v>1027</v>
      </c>
      <c r="B132" s="1169"/>
      <c r="C132" s="1169"/>
      <c r="D132" s="1163"/>
      <c r="E132" s="1173"/>
      <c r="F132" s="2559"/>
      <c r="G132" s="1193"/>
      <c r="H132" s="1193"/>
      <c r="I132" s="2557" t="s">
        <v>1058</v>
      </c>
      <c r="J132" s="2557"/>
      <c r="K132" s="2557"/>
      <c r="L132" s="1176"/>
      <c r="M132" s="1176"/>
      <c r="N132" s="1177"/>
      <c r="O132" s="1177"/>
      <c r="P132" s="1177"/>
      <c r="Q132" s="1177"/>
      <c r="R132" s="1177"/>
      <c r="S132" s="1177"/>
      <c r="T132" s="1177"/>
      <c r="U132" s="1177"/>
      <c r="V132" s="1177"/>
      <c r="W132" s="1177"/>
      <c r="X132" s="1177"/>
      <c r="Y132" s="1177"/>
      <c r="Z132" s="1177"/>
      <c r="AA132" s="1177"/>
      <c r="AB132" s="1177"/>
      <c r="AC132" s="1177"/>
      <c r="AD132" s="1177"/>
      <c r="AE132" s="1177"/>
      <c r="AF132" s="1177"/>
      <c r="AG132" s="1176"/>
      <c r="AH132" s="1176"/>
      <c r="AI132" s="1177"/>
      <c r="AJ132" s="1176"/>
      <c r="AK132" s="1177"/>
      <c r="AL132" s="1988"/>
      <c r="AM132" s="1825"/>
      <c r="AN132" s="1825"/>
      <c r="AO132" s="1825"/>
      <c r="AP132" s="1825"/>
      <c r="AQ132" s="1825"/>
      <c r="AR132" s="1825"/>
      <c r="AS132" s="1825"/>
      <c r="AT132" s="1825"/>
      <c r="AU132" s="1825"/>
      <c r="AV132" s="1825"/>
      <c r="AW132" s="1825"/>
      <c r="AX132" s="1825"/>
      <c r="AY132" s="1825"/>
      <c r="AZ132" s="1825"/>
      <c r="BA132" s="1825"/>
      <c r="BB132" s="1825"/>
      <c r="BC132" s="1825"/>
      <c r="BD132" s="1825"/>
      <c r="BE132" s="1825"/>
      <c r="BF132" s="1825"/>
      <c r="BG132" s="1638"/>
    </row>
    <row customHeight="1" ht="0.75">
      <c r="A133" s="1169" t="s">
        <v>1027</v>
      </c>
      <c r="B133" s="1169"/>
      <c r="C133" s="1169"/>
      <c r="D133" s="1163"/>
      <c r="E133" s="1173"/>
      <c r="F133" s="2558">
        <v>2037</v>
      </c>
      <c r="G133" s="2537"/>
      <c r="H133" s="2562" t="s">
        <v>377</v>
      </c>
      <c r="I133" s="2563"/>
      <c r="J133" s="2564"/>
      <c r="K133" s="2564"/>
      <c r="L133" s="2556"/>
      <c r="M133" s="2290"/>
      <c r="N133" s="2036"/>
      <c r="O133" s="2035"/>
      <c r="P133" s="2036"/>
      <c r="Q133" s="2036"/>
      <c r="R133" s="2036"/>
      <c r="S133" s="2036"/>
      <c r="T133" s="2036"/>
      <c r="U133" s="2036"/>
      <c r="V133" s="2036"/>
      <c r="W133" s="2036"/>
      <c r="X133" s="2036"/>
      <c r="Y133" s="2036"/>
      <c r="Z133" s="2036"/>
      <c r="AA133" s="2036"/>
      <c r="AB133" s="2036"/>
      <c r="AC133" s="2036"/>
      <c r="AD133" s="2036"/>
      <c r="AE133" s="2036"/>
      <c r="AF133" s="2560"/>
      <c r="AG133" s="2556"/>
      <c r="AH133" s="2556"/>
      <c r="AI133" s="2560"/>
      <c r="AJ133" s="2556"/>
      <c r="AK133" s="2556"/>
      <c r="AL133" s="1988"/>
      <c r="AM133" s="1825"/>
      <c r="AN133" s="1825"/>
      <c r="AO133" s="1825"/>
      <c r="AP133" s="1825"/>
      <c r="AQ133" s="1825"/>
      <c r="AR133" s="1825"/>
      <c r="AS133" s="1825"/>
      <c r="AT133" s="1825"/>
      <c r="AU133" s="1825"/>
      <c r="AV133" s="1825"/>
      <c r="AW133" s="1825"/>
      <c r="AX133" s="1825"/>
      <c r="AY133" s="1825"/>
      <c r="AZ133" s="1825"/>
      <c r="BA133" s="1825"/>
      <c r="BB133" s="1825"/>
      <c r="BC133" s="1825"/>
      <c r="BD133" s="1825"/>
      <c r="BE133" s="1825"/>
      <c r="BF133" s="1825"/>
      <c r="BG133" s="1638"/>
    </row>
    <row customHeight="1" ht="0.75">
      <c r="A134" s="1169" t="s">
        <v>1027</v>
      </c>
      <c r="B134" s="1169"/>
      <c r="C134" s="1169"/>
      <c r="D134" s="1163"/>
      <c r="E134" s="1173"/>
      <c r="F134" s="2558"/>
      <c r="G134" s="2537"/>
      <c r="H134" s="2562"/>
      <c r="I134" s="2563"/>
      <c r="J134" s="2564"/>
      <c r="K134" s="2564"/>
      <c r="L134" s="2556"/>
      <c r="M134" s="2290"/>
      <c r="N134" s="2565"/>
      <c r="O134" s="2566"/>
      <c r="P134" s="2610"/>
      <c r="Q134" s="2561"/>
      <c r="R134" s="2561"/>
      <c r="S134" s="2561"/>
      <c r="T134" s="2561"/>
      <c r="U134" s="2561"/>
      <c r="V134" s="2561"/>
      <c r="W134" s="2561"/>
      <c r="X134" s="2561"/>
      <c r="Y134" s="2561"/>
      <c r="Z134" s="2037"/>
      <c r="AA134" s="2038"/>
      <c r="AB134" s="2038"/>
      <c r="AC134" s="2039"/>
      <c r="AD134" s="2039"/>
      <c r="AE134" s="2040"/>
      <c r="AF134" s="2560"/>
      <c r="AG134" s="2556"/>
      <c r="AH134" s="2556"/>
      <c r="AI134" s="2560"/>
      <c r="AJ134" s="2556"/>
      <c r="AK134" s="2556"/>
      <c r="AL134" s="1988"/>
      <c r="AM134" s="1825"/>
      <c r="AN134" s="1825"/>
      <c r="AO134" s="1825"/>
      <c r="AP134" s="1825"/>
      <c r="AQ134" s="1825"/>
      <c r="AR134" s="1825"/>
      <c r="AS134" s="1825"/>
      <c r="AT134" s="1825"/>
      <c r="AU134" s="1825"/>
      <c r="AV134" s="1825"/>
      <c r="AW134" s="1825"/>
      <c r="AX134" s="1825"/>
      <c r="AY134" s="1825"/>
      <c r="AZ134" s="1825"/>
      <c r="BA134" s="1825"/>
      <c r="BB134" s="1825"/>
      <c r="BC134" s="1825"/>
      <c r="BD134" s="1825"/>
      <c r="BE134" s="1825"/>
      <c r="BF134" s="1825"/>
      <c r="BG134" s="1638"/>
    </row>
    <row customHeight="1" ht="0.75">
      <c r="A135" s="1169" t="s">
        <v>1027</v>
      </c>
      <c r="B135" s="1169"/>
      <c r="C135" s="1169"/>
      <c r="D135" s="1163"/>
      <c r="E135" s="1173"/>
      <c r="F135" s="2558"/>
      <c r="G135" s="2537"/>
      <c r="H135" s="2562"/>
      <c r="I135" s="2563"/>
      <c r="J135" s="2564"/>
      <c r="K135" s="2564"/>
      <c r="L135" s="2556"/>
      <c r="M135" s="2290"/>
      <c r="N135" s="2565"/>
      <c r="O135" s="2566"/>
      <c r="P135" s="2611"/>
      <c r="Q135" s="2561"/>
      <c r="R135" s="2561"/>
      <c r="S135" s="2561"/>
      <c r="T135" s="2561"/>
      <c r="U135" s="2561"/>
      <c r="V135" s="2561"/>
      <c r="W135" s="2561"/>
      <c r="X135" s="2561"/>
      <c r="Y135" s="2561"/>
      <c r="Z135" s="2041"/>
      <c r="AA135" s="2042"/>
      <c r="AB135" s="2043"/>
      <c r="AC135" s="2044"/>
      <c r="AD135" s="2043"/>
      <c r="AE135" s="2044"/>
      <c r="AF135" s="2560"/>
      <c r="AG135" s="2556"/>
      <c r="AH135" s="2556"/>
      <c r="AI135" s="2560"/>
      <c r="AJ135" s="2556"/>
      <c r="AK135" s="2556"/>
      <c r="AL135" s="1988"/>
      <c r="AM135" s="1825"/>
      <c r="AN135" s="1825"/>
      <c r="AO135" s="1825"/>
      <c r="AP135" s="1825"/>
      <c r="AQ135" s="1825"/>
      <c r="AR135" s="1825"/>
      <c r="AS135" s="1825"/>
      <c r="AT135" s="1825"/>
      <c r="AU135" s="1825"/>
      <c r="AV135" s="1825"/>
      <c r="AW135" s="1825"/>
      <c r="AX135" s="1825"/>
      <c r="AY135" s="1825"/>
      <c r="AZ135" s="1825"/>
      <c r="BA135" s="1825"/>
      <c r="BB135" s="1825"/>
      <c r="BC135" s="1825"/>
      <c r="BD135" s="1825"/>
      <c r="BE135" s="1825"/>
      <c r="BF135" s="1825"/>
      <c r="BG135" s="1638"/>
    </row>
    <row customHeight="1" ht="0.75">
      <c r="A136" s="1169" t="s">
        <v>1027</v>
      </c>
      <c r="B136" s="1169"/>
      <c r="C136" s="1169"/>
      <c r="D136" s="1163"/>
      <c r="E136" s="1173"/>
      <c r="F136" s="2558"/>
      <c r="G136" s="2537"/>
      <c r="H136" s="2562"/>
      <c r="I136" s="2563"/>
      <c r="J136" s="2564"/>
      <c r="K136" s="2564"/>
      <c r="L136" s="2556"/>
      <c r="M136" s="2290"/>
      <c r="N136" s="2565"/>
      <c r="O136" s="2566"/>
      <c r="P136" s="2612"/>
      <c r="Q136" s="2561"/>
      <c r="R136" s="2561"/>
      <c r="S136" s="2561"/>
      <c r="T136" s="2561"/>
      <c r="U136" s="2561"/>
      <c r="V136" s="2561"/>
      <c r="W136" s="2561"/>
      <c r="X136" s="2561"/>
      <c r="Y136" s="2561"/>
      <c r="Z136" s="2037"/>
      <c r="AA136" s="2038"/>
      <c r="AB136" s="2045"/>
      <c r="AC136" s="2039"/>
      <c r="AD136" s="2039"/>
      <c r="AE136" s="2046"/>
      <c r="AF136" s="2560"/>
      <c r="AG136" s="2556"/>
      <c r="AH136" s="2556"/>
      <c r="AI136" s="2560"/>
      <c r="AJ136" s="2556"/>
      <c r="AK136" s="2556"/>
      <c r="AL136" s="1988"/>
      <c r="AM136" s="1825"/>
      <c r="AN136" s="1825"/>
      <c r="AO136" s="1825"/>
      <c r="AP136" s="1825"/>
      <c r="AQ136" s="1825"/>
      <c r="AR136" s="1825"/>
      <c r="AS136" s="1825"/>
      <c r="AT136" s="1825"/>
      <c r="AU136" s="1825"/>
      <c r="AV136" s="1825"/>
      <c r="AW136" s="1825"/>
      <c r="AX136" s="1825"/>
      <c r="AY136" s="1825"/>
      <c r="AZ136" s="1825"/>
      <c r="BA136" s="1825"/>
      <c r="BB136" s="1825"/>
      <c r="BC136" s="1825"/>
      <c r="BD136" s="1825"/>
      <c r="BE136" s="1825"/>
      <c r="BF136" s="1825"/>
      <c r="BG136" s="1638"/>
    </row>
    <row customHeight="1" ht="0.75">
      <c r="A137" s="1169" t="s">
        <v>1027</v>
      </c>
      <c r="B137" s="1169"/>
      <c r="C137" s="1169"/>
      <c r="D137" s="1163"/>
      <c r="E137" s="1173"/>
      <c r="F137" s="2558"/>
      <c r="G137" s="2537"/>
      <c r="H137" s="2562"/>
      <c r="I137" s="2563"/>
      <c r="J137" s="2564"/>
      <c r="K137" s="2564"/>
      <c r="L137" s="2556"/>
      <c r="M137" s="2290"/>
      <c r="N137" s="2038"/>
      <c r="O137" s="2038"/>
      <c r="P137" s="2045"/>
      <c r="Q137" s="2038"/>
      <c r="R137" s="2038"/>
      <c r="S137" s="2038"/>
      <c r="T137" s="2038"/>
      <c r="U137" s="2038"/>
      <c r="V137" s="2038"/>
      <c r="W137" s="2038"/>
      <c r="X137" s="2038"/>
      <c r="Y137" s="2038"/>
      <c r="Z137" s="2038"/>
      <c r="AA137" s="2038"/>
      <c r="AB137" s="2038"/>
      <c r="AC137" s="2038"/>
      <c r="AD137" s="2038"/>
      <c r="AE137" s="2047"/>
      <c r="AF137" s="2560"/>
      <c r="AG137" s="2556"/>
      <c r="AH137" s="2556"/>
      <c r="AI137" s="2560"/>
      <c r="AJ137" s="2556"/>
      <c r="AK137" s="2556"/>
      <c r="AL137" s="1988"/>
      <c r="AM137" s="1825"/>
      <c r="AN137" s="1825"/>
      <c r="AO137" s="1825"/>
      <c r="AP137" s="1825"/>
      <c r="AQ137" s="1825"/>
      <c r="AR137" s="1825"/>
      <c r="AS137" s="1825"/>
      <c r="AT137" s="1825"/>
      <c r="AU137" s="1825"/>
      <c r="AV137" s="1825"/>
      <c r="AW137" s="1825"/>
      <c r="AX137" s="1825"/>
      <c r="AY137" s="1825"/>
      <c r="AZ137" s="1825"/>
      <c r="BA137" s="1825"/>
      <c r="BB137" s="1825"/>
      <c r="BC137" s="1825"/>
      <c r="BD137" s="1825"/>
      <c r="BE137" s="1825"/>
      <c r="BF137" s="1825"/>
      <c r="BG137" s="1638"/>
    </row>
    <row customHeight="1" ht="12">
      <c r="A138" s="1169" t="s">
        <v>1027</v>
      </c>
      <c r="B138" s="1169"/>
      <c r="C138" s="1169"/>
      <c r="D138" s="1163"/>
      <c r="E138" s="1173"/>
      <c r="F138" s="2559"/>
      <c r="G138" s="1193"/>
      <c r="H138" s="1193"/>
      <c r="I138" s="2557" t="s">
        <v>1058</v>
      </c>
      <c r="J138" s="2557"/>
      <c r="K138" s="2557"/>
      <c r="L138" s="1176"/>
      <c r="M138" s="1176"/>
      <c r="N138" s="1177"/>
      <c r="O138" s="1177"/>
      <c r="P138" s="1177"/>
      <c r="Q138" s="1177"/>
      <c r="R138" s="1177"/>
      <c r="S138" s="1177"/>
      <c r="T138" s="1177"/>
      <c r="U138" s="1177"/>
      <c r="V138" s="1177"/>
      <c r="W138" s="1177"/>
      <c r="X138" s="1177"/>
      <c r="Y138" s="1177"/>
      <c r="Z138" s="1177"/>
      <c r="AA138" s="1177"/>
      <c r="AB138" s="1177"/>
      <c r="AC138" s="1177"/>
      <c r="AD138" s="1177"/>
      <c r="AE138" s="1177"/>
      <c r="AF138" s="1177"/>
      <c r="AG138" s="1176"/>
      <c r="AH138" s="1176"/>
      <c r="AI138" s="1177"/>
      <c r="AJ138" s="1176"/>
      <c r="AK138" s="1177"/>
      <c r="AL138" s="1988"/>
      <c r="AM138" s="1825"/>
      <c r="AN138" s="1825"/>
      <c r="AO138" s="1825"/>
      <c r="AP138" s="1825"/>
      <c r="AQ138" s="1825"/>
      <c r="AR138" s="1825"/>
      <c r="AS138" s="1825"/>
      <c r="AT138" s="1825"/>
      <c r="AU138" s="1825"/>
      <c r="AV138" s="1825"/>
      <c r="AW138" s="1825"/>
      <c r="AX138" s="1825"/>
      <c r="AY138" s="1825"/>
      <c r="AZ138" s="1825"/>
      <c r="BA138" s="1825"/>
      <c r="BB138" s="1825"/>
      <c r="BC138" s="1825"/>
      <c r="BD138" s="1825"/>
      <c r="BE138" s="1825"/>
      <c r="BF138" s="1825"/>
      <c r="BG138" s="1638"/>
    </row>
    <row customHeight="1" ht="10.5">
      <c r="E139" s="910"/>
      <c r="F139" s="921"/>
      <c r="G139" s="921"/>
      <c r="H139" s="1175"/>
      <c r="I139" s="921"/>
      <c r="J139" s="921"/>
      <c r="K139" s="921"/>
      <c r="L139" s="1134"/>
      <c r="M139" s="1134"/>
      <c r="N139" s="921"/>
      <c r="O139" s="921"/>
      <c r="P139" s="921"/>
      <c r="Q139" s="921"/>
      <c r="R139" s="921"/>
      <c r="S139" s="921"/>
      <c r="T139" s="921"/>
      <c r="U139" s="921"/>
      <c r="V139" s="921"/>
      <c r="W139" s="921"/>
      <c r="X139" s="921"/>
      <c r="Y139" s="921"/>
      <c r="Z139" s="921"/>
      <c r="AA139" s="921"/>
      <c r="AB139" s="921"/>
      <c r="AC139" s="921"/>
      <c r="AD139" s="1134"/>
      <c r="AE139" s="921"/>
      <c r="AF139" s="921"/>
      <c r="AG139" s="921"/>
      <c r="AH139" s="1152"/>
      <c r="AI139" s="1145"/>
      <c r="AJ139" s="921"/>
      <c r="AK139" s="921"/>
      <c r="AL139" s="910"/>
      <c r="AM139" s="910"/>
      <c r="AN139" s="910"/>
      <c r="AO139" s="910"/>
      <c r="AP139" s="910"/>
      <c r="AQ139" s="910"/>
      <c r="AR139" s="910"/>
      <c r="AS139" s="910"/>
      <c r="AT139" s="910"/>
      <c r="AU139" s="910"/>
      <c r="AV139" s="910"/>
      <c r="AW139" s="910"/>
      <c r="AX139" s="910"/>
      <c r="AY139" s="910"/>
      <c r="AZ139" s="910"/>
      <c r="BA139" s="910"/>
      <c r="BB139" s="910"/>
      <c r="BC139" s="910"/>
      <c r="BD139" s="910"/>
      <c r="BE139" s="910"/>
      <c r="BF139" s="910"/>
      <c r="BG139" s="761">
        <v>10</v>
      </c>
    </row>
    <row customHeight="1" ht="13.5">
      <c r="E140" s="910"/>
      <c r="F140" s="917" t="s">
        <v>1070</v>
      </c>
      <c r="G140" s="917"/>
      <c r="H140" s="1174"/>
      <c r="I140" s="917"/>
      <c r="J140" s="917"/>
      <c r="K140" s="914"/>
      <c r="L140" s="1130"/>
      <c r="M140" s="1130"/>
      <c r="N140" s="916"/>
      <c r="O140" s="916"/>
      <c r="P140" s="916"/>
      <c r="Q140" s="916"/>
      <c r="R140" s="916"/>
      <c r="S140" s="916"/>
      <c r="T140" s="916"/>
      <c r="U140" s="916"/>
      <c r="V140" s="916"/>
      <c r="W140" s="916"/>
      <c r="X140" s="916"/>
      <c r="Y140" s="916"/>
      <c r="Z140" s="914"/>
      <c r="AA140" s="914"/>
      <c r="AB140" s="914"/>
      <c r="AC140" s="914"/>
      <c r="AD140" s="1130"/>
      <c r="AE140" s="914"/>
      <c r="AF140" s="914"/>
      <c r="AG140" s="914"/>
      <c r="AH140" s="1149"/>
      <c r="AI140" s="1142"/>
      <c r="AJ140" s="914"/>
      <c r="AK140" s="914"/>
      <c r="AL140" s="910"/>
      <c r="AM140" s="910"/>
      <c r="AN140" s="910"/>
      <c r="AO140" s="910"/>
      <c r="AP140" s="910"/>
      <c r="AQ140" s="910"/>
      <c r="AR140" s="910"/>
      <c r="AS140" s="910"/>
      <c r="AT140" s="910"/>
      <c r="AU140" s="910"/>
      <c r="AV140" s="910"/>
      <c r="AW140" s="910"/>
      <c r="AX140" s="910"/>
      <c r="AY140" s="910"/>
      <c r="AZ140" s="910"/>
      <c r="BA140" s="910"/>
      <c r="BB140" s="910"/>
      <c r="BC140" s="910"/>
      <c r="BD140" s="910"/>
      <c r="BE140" s="910"/>
      <c r="BF140" s="910"/>
      <c r="BG140" s="761">
        <v>13</v>
      </c>
    </row>
    <row customHeight="1" ht="10.5">
      <c r="BG141" s="761">
        <v>10</v>
      </c>
    </row>
    <row customHeight="1" ht="10.5">
      <c r="E142" s="910"/>
      <c r="F142" s="2429"/>
      <c r="G142" s="2429"/>
      <c r="H142" s="2429"/>
      <c r="I142" s="2429"/>
      <c r="J142" s="2429"/>
      <c r="K142" s="914"/>
      <c r="L142" s="1130"/>
      <c r="M142" s="1130"/>
      <c r="N142" s="916"/>
      <c r="O142" s="916"/>
      <c r="P142" s="916"/>
      <c r="Q142" s="916"/>
      <c r="R142" s="916"/>
      <c r="S142" s="916"/>
      <c r="T142" s="916"/>
      <c r="U142" s="916"/>
      <c r="V142" s="916"/>
      <c r="W142" s="916"/>
      <c r="X142" s="916"/>
      <c r="Y142" s="916"/>
      <c r="Z142" s="914"/>
      <c r="AA142" s="914"/>
      <c r="AB142" s="914"/>
      <c r="AC142" s="914"/>
      <c r="AD142" s="1130"/>
      <c r="AE142" s="914"/>
      <c r="AF142" s="914"/>
      <c r="AG142" s="914"/>
      <c r="AH142" s="1149"/>
      <c r="AI142" s="1142"/>
      <c r="AJ142" s="914"/>
      <c r="AK142" s="914"/>
      <c r="AL142" s="910"/>
      <c r="AM142" s="910"/>
      <c r="AN142" s="910"/>
      <c r="AO142" s="910"/>
      <c r="AP142" s="910"/>
      <c r="AQ142" s="910"/>
      <c r="AR142" s="910"/>
      <c r="AS142" s="910"/>
      <c r="AT142" s="910"/>
      <c r="AU142" s="910"/>
      <c r="AV142" s="910"/>
      <c r="AW142" s="910"/>
      <c r="AX142" s="910"/>
      <c r="AY142" s="910"/>
      <c r="AZ142" s="910"/>
      <c r="BA142" s="910"/>
      <c r="BB142" s="910"/>
      <c r="BC142" s="910"/>
      <c r="BD142" s="910"/>
      <c r="BE142" s="910"/>
      <c r="BF142" s="910"/>
      <c r="BG142" s="761">
        <v>10</v>
      </c>
    </row>
    <row customHeight="1" ht="10.5">
      <c r="E143" s="910"/>
      <c r="F143" s="2429"/>
      <c r="G143" s="2429"/>
      <c r="H143" s="2429"/>
      <c r="I143" s="2429"/>
      <c r="J143" s="2429"/>
      <c r="K143" s="914"/>
      <c r="L143" s="1130"/>
      <c r="M143" s="1130"/>
      <c r="N143" s="916"/>
      <c r="O143" s="916"/>
      <c r="P143" s="916"/>
      <c r="Q143" s="916"/>
      <c r="R143" s="916"/>
      <c r="S143" s="916"/>
      <c r="T143" s="916"/>
      <c r="U143" s="916"/>
      <c r="V143" s="916"/>
      <c r="W143" s="916"/>
      <c r="X143" s="916"/>
      <c r="Y143" s="916"/>
      <c r="Z143" s="914"/>
      <c r="AA143" s="914"/>
      <c r="AB143" s="914"/>
      <c r="AC143" s="914"/>
      <c r="AD143" s="1130"/>
      <c r="AE143" s="914"/>
      <c r="AF143" s="914"/>
      <c r="AG143" s="914"/>
      <c r="AH143" s="1149"/>
      <c r="AI143" s="1142"/>
      <c r="AJ143" s="914"/>
      <c r="AK143" s="914"/>
      <c r="AL143" s="910"/>
      <c r="AM143" s="910"/>
      <c r="AN143" s="910"/>
      <c r="AO143" s="910"/>
      <c r="AP143" s="910"/>
      <c r="AQ143" s="910"/>
      <c r="AR143" s="910"/>
      <c r="AS143" s="910"/>
      <c r="AT143" s="910"/>
      <c r="AU143" s="910"/>
      <c r="AV143" s="910"/>
      <c r="AW143" s="910"/>
      <c r="AX143" s="910"/>
      <c r="AY143" s="910"/>
      <c r="AZ143" s="910"/>
      <c r="BA143" s="910"/>
      <c r="BB143" s="910"/>
      <c r="BC143" s="910"/>
      <c r="BD143" s="910"/>
      <c r="BE143" s="910"/>
      <c r="BF143" s="910"/>
      <c r="BG143" s="761">
        <v>10</v>
      </c>
    </row>
    <row customHeight="1" ht="10.5">
      <c r="E144" s="910"/>
      <c r="F144" s="2429"/>
      <c r="G144" s="2429"/>
      <c r="H144" s="2429"/>
      <c r="I144" s="2429"/>
      <c r="J144" s="2429"/>
      <c r="K144" s="914"/>
      <c r="L144" s="1130"/>
      <c r="M144" s="1130"/>
      <c r="N144" s="916"/>
      <c r="O144" s="916"/>
      <c r="P144" s="916"/>
      <c r="Q144" s="916"/>
      <c r="R144" s="916"/>
      <c r="S144" s="916"/>
      <c r="T144" s="916"/>
      <c r="U144" s="916"/>
      <c r="V144" s="916"/>
      <c r="W144" s="916"/>
      <c r="X144" s="916"/>
      <c r="Y144" s="916"/>
      <c r="Z144" s="914"/>
      <c r="AA144" s="914"/>
      <c r="AB144" s="914"/>
      <c r="AC144" s="914"/>
      <c r="AD144" s="1130"/>
      <c r="AE144" s="914"/>
      <c r="AF144" s="914"/>
      <c r="AG144" s="914"/>
      <c r="AH144" s="1149"/>
      <c r="AI144" s="1142"/>
      <c r="AJ144" s="914"/>
      <c r="AK144" s="914"/>
      <c r="AL144" s="910"/>
      <c r="AM144" s="910"/>
      <c r="AN144" s="910"/>
      <c r="AO144" s="910"/>
      <c r="AP144" s="910"/>
      <c r="AQ144" s="910"/>
      <c r="AR144" s="910"/>
      <c r="AS144" s="910"/>
      <c r="AT144" s="910"/>
      <c r="AU144" s="910"/>
      <c r="AV144" s="910"/>
      <c r="AW144" s="910"/>
      <c r="AX144" s="910"/>
      <c r="AY144" s="910"/>
      <c r="AZ144" s="910"/>
      <c r="BA144" s="910"/>
      <c r="BB144" s="910"/>
      <c r="BC144" s="910"/>
      <c r="BD144" s="910"/>
      <c r="BE144" s="910"/>
      <c r="BF144" s="910"/>
      <c r="BG144" s="761">
        <v>10</v>
      </c>
    </row>
    <row customHeight="1" ht="10.5" hidden="1">
      <c r="A145" s="898" t="s">
        <v>82</v>
      </c>
      <c r="B145" s="898">
        <v>0</v>
      </c>
      <c r="C145" s="898">
        <v>0</v>
      </c>
      <c r="D145" s="420">
        <v>0</v>
      </c>
      <c r="E145" s="512">
        <v>3</v>
      </c>
      <c r="F145" s="761">
        <v>14</v>
      </c>
      <c r="G145" s="761">
        <v>3</v>
      </c>
      <c r="H145" s="1158">
        <v>7</v>
      </c>
      <c r="I145" s="761">
        <v>16</v>
      </c>
      <c r="J145" s="761">
        <v>16</v>
      </c>
      <c r="K145" s="761">
        <v>25</v>
      </c>
      <c r="L145" s="1128">
        <v>7</v>
      </c>
      <c r="M145" s="1128">
        <v>15</v>
      </c>
      <c r="N145" s="761">
        <v>3</v>
      </c>
      <c r="O145" s="761">
        <v>4</v>
      </c>
      <c r="P145" s="761">
        <v>8</v>
      </c>
      <c r="Q145" s="761">
        <v>21</v>
      </c>
      <c r="R145" s="761">
        <v>14</v>
      </c>
      <c r="S145" s="761">
        <v>17</v>
      </c>
      <c r="T145" s="761">
        <v>17</v>
      </c>
      <c r="U145" s="761">
        <v>9</v>
      </c>
      <c r="V145" s="761">
        <v>12</v>
      </c>
      <c r="W145" s="761">
        <v>9</v>
      </c>
      <c r="X145" s="761">
        <v>21</v>
      </c>
      <c r="Y145" s="761">
        <v>12</v>
      </c>
      <c r="Z145" s="761">
        <v>3</v>
      </c>
      <c r="AA145" s="761">
        <v>6</v>
      </c>
      <c r="AB145" s="761">
        <v>38</v>
      </c>
      <c r="AC145" s="761">
        <v>15</v>
      </c>
      <c r="AD145" s="1128">
        <v>0</v>
      </c>
      <c r="AE145" s="761">
        <v>0</v>
      </c>
      <c r="AF145" s="761">
        <v>16</v>
      </c>
      <c r="AG145" s="761">
        <v>16</v>
      </c>
      <c r="AH145" s="1147">
        <v>16</v>
      </c>
      <c r="AI145" s="1140">
        <v>0</v>
      </c>
      <c r="AJ145" s="761">
        <v>0</v>
      </c>
      <c r="AK145" s="761">
        <v>0</v>
      </c>
      <c r="AL145" s="761">
        <v>8</v>
      </c>
      <c r="AM145" s="761">
        <v>8</v>
      </c>
      <c r="AN145" s="761">
        <v>8</v>
      </c>
      <c r="AO145" s="761">
        <v>8</v>
      </c>
      <c r="AP145" s="761">
        <v>8</v>
      </c>
      <c r="AQ145" s="761">
        <v>8</v>
      </c>
      <c r="AR145" s="761">
        <v>8</v>
      </c>
      <c r="AS145" s="761">
        <v>8</v>
      </c>
      <c r="AT145" s="761">
        <v>8</v>
      </c>
      <c r="AU145" s="761">
        <v>8</v>
      </c>
      <c r="AV145" s="761">
        <v>8</v>
      </c>
      <c r="AW145" s="761">
        <v>8</v>
      </c>
      <c r="AX145" s="761">
        <v>8</v>
      </c>
      <c r="AY145" s="761">
        <v>8</v>
      </c>
      <c r="AZ145" s="761">
        <v>8</v>
      </c>
      <c r="BA145" s="761">
        <v>8</v>
      </c>
      <c r="BB145" s="761">
        <v>8</v>
      </c>
      <c r="BC145" s="761">
        <v>8</v>
      </c>
      <c r="BD145" s="761">
        <v>8</v>
      </c>
      <c r="BE145" s="761">
        <v>8</v>
      </c>
      <c r="BF145" s="761">
        <v>8</v>
      </c>
      <c r="BG145" s="761">
        <v>10</v>
      </c>
    </row>
  </sheetData>
  <sheetProtection formatColumns="0" formatRows="0" autoFilter="0" sort="0" insertRows="0" insertColumns="1" deleteRows="0" deleteColumns="0"/>
  <mergeCells count="589">
    <mergeCell ref="AB9:AE10"/>
    <mergeCell ref="S11:Y11"/>
    <mergeCell ref="N10:Y10"/>
    <mergeCell ref="K9:Y9"/>
    <mergeCell ref="N11:O12"/>
    <mergeCell ref="P11:P12"/>
    <mergeCell ref="Q11:Q12"/>
    <mergeCell ref="F144:J144"/>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43:J143"/>
    <mergeCell ref="F142:J142"/>
    <mergeCell ref="F5:K5"/>
    <mergeCell ref="P16:P18"/>
    <mergeCell ref="Q16:Q18"/>
    <mergeCell ref="R16:R18"/>
    <mergeCell ref="G15:G19"/>
    <mergeCell ref="AJ15:AJ19"/>
    <mergeCell ref="AK15:AK19"/>
    <mergeCell ref="I20:K20"/>
    <mergeCell ref="F15:F2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2:P24"/>
    <mergeCell ref="Q22:Q24"/>
    <mergeCell ref="R22:R24"/>
    <mergeCell ref="G21:G25"/>
    <mergeCell ref="AJ21:AJ25"/>
    <mergeCell ref="AK21:AK25"/>
    <mergeCell ref="I31:K31"/>
    <mergeCell ref="F21:F31"/>
    <mergeCell ref="AF21:AF25"/>
    <mergeCell ref="AG21:AG25"/>
    <mergeCell ref="AH21:AH25"/>
    <mergeCell ref="AI21:AI25"/>
    <mergeCell ref="S22:S24"/>
    <mergeCell ref="T22:T24"/>
    <mergeCell ref="U22:U24"/>
    <mergeCell ref="V22:V24"/>
    <mergeCell ref="W22:W24"/>
    <mergeCell ref="X22:X24"/>
    <mergeCell ref="Y22:Y24"/>
    <mergeCell ref="H21:H25"/>
    <mergeCell ref="I21:I25"/>
    <mergeCell ref="J21:J25"/>
    <mergeCell ref="K21:K25"/>
    <mergeCell ref="L21:L25"/>
    <mergeCell ref="M21:M25"/>
    <mergeCell ref="N22:N24"/>
    <mergeCell ref="O22:O24"/>
    <mergeCell ref="P33:P35"/>
    <mergeCell ref="Q33:Q35"/>
    <mergeCell ref="R33:R35"/>
    <mergeCell ref="G32:G36"/>
    <mergeCell ref="AJ32:AJ36"/>
    <mergeCell ref="AK32:AK36"/>
    <mergeCell ref="I37:K37"/>
    <mergeCell ref="F32:F37"/>
    <mergeCell ref="AF32:AF36"/>
    <mergeCell ref="AG32:AG36"/>
    <mergeCell ref="AH32:AH36"/>
    <mergeCell ref="AI32:AI36"/>
    <mergeCell ref="S33:S35"/>
    <mergeCell ref="T33:T35"/>
    <mergeCell ref="U33:U35"/>
    <mergeCell ref="V33:V35"/>
    <mergeCell ref="W33:W35"/>
    <mergeCell ref="X33:X35"/>
    <mergeCell ref="Y33:Y35"/>
    <mergeCell ref="H32:H36"/>
    <mergeCell ref="I32:I36"/>
    <mergeCell ref="J32:J36"/>
    <mergeCell ref="K32:K36"/>
    <mergeCell ref="L32:L36"/>
    <mergeCell ref="M32:M36"/>
    <mergeCell ref="N33:N35"/>
    <mergeCell ref="O33:O35"/>
    <mergeCell ref="P39:P41"/>
    <mergeCell ref="Q39:Q41"/>
    <mergeCell ref="R39:R41"/>
    <mergeCell ref="G38:G42"/>
    <mergeCell ref="AJ38:AJ42"/>
    <mergeCell ref="AK38:AK42"/>
    <mergeCell ref="I48:K48"/>
    <mergeCell ref="F38:F48"/>
    <mergeCell ref="AF38:AF42"/>
    <mergeCell ref="AG38:AG42"/>
    <mergeCell ref="AH38:AH42"/>
    <mergeCell ref="AI38:AI42"/>
    <mergeCell ref="S39:S41"/>
    <mergeCell ref="T39:T41"/>
    <mergeCell ref="U39:U41"/>
    <mergeCell ref="V39:V41"/>
    <mergeCell ref="W39:W41"/>
    <mergeCell ref="X39:X41"/>
    <mergeCell ref="Y39:Y41"/>
    <mergeCell ref="H38:H42"/>
    <mergeCell ref="I38:I42"/>
    <mergeCell ref="J38:J42"/>
    <mergeCell ref="K38:K42"/>
    <mergeCell ref="L38:L42"/>
    <mergeCell ref="M38:M42"/>
    <mergeCell ref="N39:N41"/>
    <mergeCell ref="O39:O41"/>
    <mergeCell ref="P51:P53"/>
    <mergeCell ref="Q51:Q53"/>
    <mergeCell ref="R51:R53"/>
    <mergeCell ref="G50:G54"/>
    <mergeCell ref="AJ50:AJ54"/>
    <mergeCell ref="AK50:AK54"/>
    <mergeCell ref="I55:K55"/>
    <mergeCell ref="F50:F55"/>
    <mergeCell ref="AF50:AF54"/>
    <mergeCell ref="AG50:AG54"/>
    <mergeCell ref="AH50:AH54"/>
    <mergeCell ref="AI50:AI54"/>
    <mergeCell ref="S51:S53"/>
    <mergeCell ref="T51:T53"/>
    <mergeCell ref="U51:U53"/>
    <mergeCell ref="V51:V53"/>
    <mergeCell ref="W51:W53"/>
    <mergeCell ref="X51:X53"/>
    <mergeCell ref="Y51:Y53"/>
    <mergeCell ref="H50:H54"/>
    <mergeCell ref="I50:I54"/>
    <mergeCell ref="J50:J54"/>
    <mergeCell ref="K50:K54"/>
    <mergeCell ref="L50:L54"/>
    <mergeCell ref="M50:M54"/>
    <mergeCell ref="N51:N53"/>
    <mergeCell ref="O51:O53"/>
    <mergeCell ref="P57:P59"/>
    <mergeCell ref="Q57:Q59"/>
    <mergeCell ref="R57:R59"/>
    <mergeCell ref="G56:G60"/>
    <mergeCell ref="AJ56:AJ60"/>
    <mergeCell ref="AK56:AK60"/>
    <mergeCell ref="I66:K66"/>
    <mergeCell ref="F56:F66"/>
    <mergeCell ref="AF56:AF60"/>
    <mergeCell ref="AG56:AG60"/>
    <mergeCell ref="AH56:AH60"/>
    <mergeCell ref="AI56:AI60"/>
    <mergeCell ref="S57:S59"/>
    <mergeCell ref="T57:T59"/>
    <mergeCell ref="U57:U59"/>
    <mergeCell ref="V57:V59"/>
    <mergeCell ref="W57:W59"/>
    <mergeCell ref="X57:X59"/>
    <mergeCell ref="Y57:Y59"/>
    <mergeCell ref="H56:H60"/>
    <mergeCell ref="I56:I60"/>
    <mergeCell ref="J56:J60"/>
    <mergeCell ref="K56:K60"/>
    <mergeCell ref="L56:L60"/>
    <mergeCell ref="M56:M60"/>
    <mergeCell ref="N57:N59"/>
    <mergeCell ref="O57:O59"/>
    <mergeCell ref="P68:P70"/>
    <mergeCell ref="Q68:Q70"/>
    <mergeCell ref="R68:R70"/>
    <mergeCell ref="G67:G71"/>
    <mergeCell ref="AJ67:AJ71"/>
    <mergeCell ref="AK67:AK71"/>
    <mergeCell ref="I72:K72"/>
    <mergeCell ref="F67:F72"/>
    <mergeCell ref="AF67:AF71"/>
    <mergeCell ref="AG67:AG71"/>
    <mergeCell ref="AH67:AH71"/>
    <mergeCell ref="AI67:AI71"/>
    <mergeCell ref="S68:S70"/>
    <mergeCell ref="T68:T70"/>
    <mergeCell ref="U68:U70"/>
    <mergeCell ref="V68:V70"/>
    <mergeCell ref="W68:W70"/>
    <mergeCell ref="X68:X70"/>
    <mergeCell ref="Y68:Y70"/>
    <mergeCell ref="H67:H71"/>
    <mergeCell ref="I67:I71"/>
    <mergeCell ref="J67:J71"/>
    <mergeCell ref="K67:K71"/>
    <mergeCell ref="L67:L71"/>
    <mergeCell ref="M67:M71"/>
    <mergeCell ref="N68:N70"/>
    <mergeCell ref="O68:O70"/>
    <mergeCell ref="P74:P76"/>
    <mergeCell ref="Q74:Q76"/>
    <mergeCell ref="R74:R76"/>
    <mergeCell ref="G73:G77"/>
    <mergeCell ref="AJ73:AJ77"/>
    <mergeCell ref="AK73:AK77"/>
    <mergeCell ref="I78:K78"/>
    <mergeCell ref="F73:F78"/>
    <mergeCell ref="AF73:AF77"/>
    <mergeCell ref="AG73:AG77"/>
    <mergeCell ref="AH73:AH77"/>
    <mergeCell ref="AI73:AI77"/>
    <mergeCell ref="S74:S76"/>
    <mergeCell ref="T74:T76"/>
    <mergeCell ref="U74:U76"/>
    <mergeCell ref="V74:V76"/>
    <mergeCell ref="W74:W76"/>
    <mergeCell ref="X74:X76"/>
    <mergeCell ref="Y74:Y76"/>
    <mergeCell ref="H73:H77"/>
    <mergeCell ref="I73:I77"/>
    <mergeCell ref="J73:J77"/>
    <mergeCell ref="K73:K77"/>
    <mergeCell ref="L73:L77"/>
    <mergeCell ref="M73:M77"/>
    <mergeCell ref="N74:N76"/>
    <mergeCell ref="O74:O76"/>
    <mergeCell ref="P80:P82"/>
    <mergeCell ref="Q80:Q82"/>
    <mergeCell ref="R80:R82"/>
    <mergeCell ref="G79:G83"/>
    <mergeCell ref="AJ79:AJ83"/>
    <mergeCell ref="AK79:AK83"/>
    <mergeCell ref="I84:K84"/>
    <mergeCell ref="F79:F84"/>
    <mergeCell ref="AF79:AF83"/>
    <mergeCell ref="AG79:AG83"/>
    <mergeCell ref="AH79:AH83"/>
    <mergeCell ref="AI79:AI83"/>
    <mergeCell ref="S80:S82"/>
    <mergeCell ref="T80:T82"/>
    <mergeCell ref="U80:U82"/>
    <mergeCell ref="V80:V82"/>
    <mergeCell ref="W80:W82"/>
    <mergeCell ref="X80:X82"/>
    <mergeCell ref="Y80:Y82"/>
    <mergeCell ref="H79:H83"/>
    <mergeCell ref="I79:I83"/>
    <mergeCell ref="J79:J83"/>
    <mergeCell ref="K79:K83"/>
    <mergeCell ref="L79:L83"/>
    <mergeCell ref="M79:M83"/>
    <mergeCell ref="N80:N82"/>
    <mergeCell ref="O80:O82"/>
    <mergeCell ref="P86:P88"/>
    <mergeCell ref="Q86:Q88"/>
    <mergeCell ref="R86:R88"/>
    <mergeCell ref="G85:G89"/>
    <mergeCell ref="AJ85:AJ89"/>
    <mergeCell ref="AK85:AK89"/>
    <mergeCell ref="I90:K90"/>
    <mergeCell ref="F85:F90"/>
    <mergeCell ref="AF85:AF89"/>
    <mergeCell ref="AG85:AG89"/>
    <mergeCell ref="AH85:AH89"/>
    <mergeCell ref="AI85:AI89"/>
    <mergeCell ref="S86:S88"/>
    <mergeCell ref="T86:T88"/>
    <mergeCell ref="U86:U88"/>
    <mergeCell ref="V86:V88"/>
    <mergeCell ref="W86:W88"/>
    <mergeCell ref="X86:X88"/>
    <mergeCell ref="Y86:Y88"/>
    <mergeCell ref="H85:H89"/>
    <mergeCell ref="I85:I89"/>
    <mergeCell ref="J85:J89"/>
    <mergeCell ref="K85:K89"/>
    <mergeCell ref="L85:L89"/>
    <mergeCell ref="M85:M89"/>
    <mergeCell ref="N86:N88"/>
    <mergeCell ref="O86:O88"/>
    <mergeCell ref="P92:P94"/>
    <mergeCell ref="Q92:Q94"/>
    <mergeCell ref="R92:R94"/>
    <mergeCell ref="G91:G95"/>
    <mergeCell ref="AJ91:AJ95"/>
    <mergeCell ref="AK91:AK95"/>
    <mergeCell ref="I96:K96"/>
    <mergeCell ref="F91:F96"/>
    <mergeCell ref="AF91:AF95"/>
    <mergeCell ref="AG91:AG95"/>
    <mergeCell ref="AH91:AH95"/>
    <mergeCell ref="AI91:AI95"/>
    <mergeCell ref="S92:S94"/>
    <mergeCell ref="T92:T94"/>
    <mergeCell ref="U92:U94"/>
    <mergeCell ref="V92:V94"/>
    <mergeCell ref="W92:W94"/>
    <mergeCell ref="X92:X94"/>
    <mergeCell ref="Y92:Y94"/>
    <mergeCell ref="H91:H95"/>
    <mergeCell ref="I91:I95"/>
    <mergeCell ref="J91:J95"/>
    <mergeCell ref="K91:K95"/>
    <mergeCell ref="L91:L95"/>
    <mergeCell ref="M91:M95"/>
    <mergeCell ref="N92:N94"/>
    <mergeCell ref="O92:O94"/>
    <mergeCell ref="P98:P100"/>
    <mergeCell ref="Q98:Q100"/>
    <mergeCell ref="R98:R100"/>
    <mergeCell ref="G97:G101"/>
    <mergeCell ref="AJ97:AJ101"/>
    <mergeCell ref="AK97:AK101"/>
    <mergeCell ref="I102:K102"/>
    <mergeCell ref="F97:F102"/>
    <mergeCell ref="AF97:AF101"/>
    <mergeCell ref="AG97:AG101"/>
    <mergeCell ref="AH97:AH101"/>
    <mergeCell ref="AI97:AI101"/>
    <mergeCell ref="S98:S100"/>
    <mergeCell ref="T98:T100"/>
    <mergeCell ref="U98:U100"/>
    <mergeCell ref="V98:V100"/>
    <mergeCell ref="W98:W100"/>
    <mergeCell ref="X98:X100"/>
    <mergeCell ref="Y98:Y100"/>
    <mergeCell ref="H97:H101"/>
    <mergeCell ref="I97:I101"/>
    <mergeCell ref="J97:J101"/>
    <mergeCell ref="K97:K101"/>
    <mergeCell ref="L97:L101"/>
    <mergeCell ref="M97:M101"/>
    <mergeCell ref="N98:N100"/>
    <mergeCell ref="O98:O100"/>
    <mergeCell ref="P104:P106"/>
    <mergeCell ref="Q104:Q106"/>
    <mergeCell ref="R104:R106"/>
    <mergeCell ref="G103:G107"/>
    <mergeCell ref="AJ103:AJ107"/>
    <mergeCell ref="AK103:AK107"/>
    <mergeCell ref="I108:K108"/>
    <mergeCell ref="F103:F108"/>
    <mergeCell ref="AF103:AF107"/>
    <mergeCell ref="AG103:AG107"/>
    <mergeCell ref="AH103:AH107"/>
    <mergeCell ref="AI103:AI107"/>
    <mergeCell ref="S104:S106"/>
    <mergeCell ref="T104:T106"/>
    <mergeCell ref="U104:U106"/>
    <mergeCell ref="V104:V106"/>
    <mergeCell ref="W104:W106"/>
    <mergeCell ref="X104:X106"/>
    <mergeCell ref="Y104:Y106"/>
    <mergeCell ref="H103:H107"/>
    <mergeCell ref="I103:I107"/>
    <mergeCell ref="J103:J107"/>
    <mergeCell ref="K103:K107"/>
    <mergeCell ref="L103:L107"/>
    <mergeCell ref="M103:M107"/>
    <mergeCell ref="N104:N106"/>
    <mergeCell ref="O104:O106"/>
    <mergeCell ref="P110:P112"/>
    <mergeCell ref="Q110:Q112"/>
    <mergeCell ref="R110:R112"/>
    <mergeCell ref="G109:G113"/>
    <mergeCell ref="AJ109:AJ113"/>
    <mergeCell ref="AK109:AK113"/>
    <mergeCell ref="I114:K114"/>
    <mergeCell ref="F109:F114"/>
    <mergeCell ref="AF109:AF113"/>
    <mergeCell ref="AG109:AG113"/>
    <mergeCell ref="AH109:AH113"/>
    <mergeCell ref="AI109:AI113"/>
    <mergeCell ref="S110:S112"/>
    <mergeCell ref="T110:T112"/>
    <mergeCell ref="U110:U112"/>
    <mergeCell ref="V110:V112"/>
    <mergeCell ref="W110:W112"/>
    <mergeCell ref="X110:X112"/>
    <mergeCell ref="Y110:Y112"/>
    <mergeCell ref="H109:H113"/>
    <mergeCell ref="I109:I113"/>
    <mergeCell ref="J109:J113"/>
    <mergeCell ref="K109:K113"/>
    <mergeCell ref="L109:L113"/>
    <mergeCell ref="M109:M113"/>
    <mergeCell ref="N110:N112"/>
    <mergeCell ref="O110:O112"/>
    <mergeCell ref="P116:P118"/>
    <mergeCell ref="Q116:Q118"/>
    <mergeCell ref="R116:R118"/>
    <mergeCell ref="G115:G119"/>
    <mergeCell ref="AJ115:AJ119"/>
    <mergeCell ref="AK115:AK119"/>
    <mergeCell ref="I120:K120"/>
    <mergeCell ref="F115:F120"/>
    <mergeCell ref="AF115:AF119"/>
    <mergeCell ref="AG115:AG119"/>
    <mergeCell ref="AH115:AH119"/>
    <mergeCell ref="AI115:AI119"/>
    <mergeCell ref="S116:S118"/>
    <mergeCell ref="T116:T118"/>
    <mergeCell ref="U116:U118"/>
    <mergeCell ref="V116:V118"/>
    <mergeCell ref="W116:W118"/>
    <mergeCell ref="X116:X118"/>
    <mergeCell ref="Y116:Y118"/>
    <mergeCell ref="H115:H119"/>
    <mergeCell ref="I115:I119"/>
    <mergeCell ref="J115:J119"/>
    <mergeCell ref="K115:K119"/>
    <mergeCell ref="L115:L119"/>
    <mergeCell ref="M115:M119"/>
    <mergeCell ref="N116:N118"/>
    <mergeCell ref="O116:O118"/>
    <mergeCell ref="P122:P124"/>
    <mergeCell ref="Q122:Q124"/>
    <mergeCell ref="R122:R124"/>
    <mergeCell ref="G121:G125"/>
    <mergeCell ref="AJ121:AJ125"/>
    <mergeCell ref="AK121:AK125"/>
    <mergeCell ref="I126:K126"/>
    <mergeCell ref="F121:F126"/>
    <mergeCell ref="AF121:AF125"/>
    <mergeCell ref="AG121:AG125"/>
    <mergeCell ref="AH121:AH125"/>
    <mergeCell ref="AI121:AI125"/>
    <mergeCell ref="S122:S124"/>
    <mergeCell ref="T122:T124"/>
    <mergeCell ref="U122:U124"/>
    <mergeCell ref="V122:V124"/>
    <mergeCell ref="W122:W124"/>
    <mergeCell ref="X122:X124"/>
    <mergeCell ref="Y122:Y124"/>
    <mergeCell ref="H121:H125"/>
    <mergeCell ref="I121:I125"/>
    <mergeCell ref="J121:J125"/>
    <mergeCell ref="K121:K125"/>
    <mergeCell ref="L121:L125"/>
    <mergeCell ref="M121:M125"/>
    <mergeCell ref="N122:N124"/>
    <mergeCell ref="O122:O124"/>
    <mergeCell ref="P128:P130"/>
    <mergeCell ref="Q128:Q130"/>
    <mergeCell ref="R128:R130"/>
    <mergeCell ref="G127:G131"/>
    <mergeCell ref="AJ127:AJ131"/>
    <mergeCell ref="AK127:AK131"/>
    <mergeCell ref="I132:K132"/>
    <mergeCell ref="F127:F132"/>
    <mergeCell ref="AF127:AF131"/>
    <mergeCell ref="AG127:AG131"/>
    <mergeCell ref="AH127:AH131"/>
    <mergeCell ref="AI127:AI131"/>
    <mergeCell ref="S128:S130"/>
    <mergeCell ref="T128:T130"/>
    <mergeCell ref="U128:U130"/>
    <mergeCell ref="V128:V130"/>
    <mergeCell ref="W128:W130"/>
    <mergeCell ref="X128:X130"/>
    <mergeCell ref="Y128:Y130"/>
    <mergeCell ref="H127:H131"/>
    <mergeCell ref="I127:I131"/>
    <mergeCell ref="J127:J131"/>
    <mergeCell ref="K127:K131"/>
    <mergeCell ref="L127:L131"/>
    <mergeCell ref="M127:M131"/>
    <mergeCell ref="N128:N130"/>
    <mergeCell ref="O128:O130"/>
    <mergeCell ref="P134:P136"/>
    <mergeCell ref="Q134:Q136"/>
    <mergeCell ref="R134:R136"/>
    <mergeCell ref="G133:G137"/>
    <mergeCell ref="AJ133:AJ137"/>
    <mergeCell ref="AK133:AK137"/>
    <mergeCell ref="I138:K138"/>
    <mergeCell ref="F133:F138"/>
    <mergeCell ref="AF133:AF137"/>
    <mergeCell ref="AG133:AG137"/>
    <mergeCell ref="AH133:AH137"/>
    <mergeCell ref="AI133:AI137"/>
    <mergeCell ref="S134:S136"/>
    <mergeCell ref="T134:T136"/>
    <mergeCell ref="U134:U136"/>
    <mergeCell ref="V134:V136"/>
    <mergeCell ref="W134:W136"/>
    <mergeCell ref="X134:X136"/>
    <mergeCell ref="Y134:Y136"/>
    <mergeCell ref="H133:H137"/>
    <mergeCell ref="I133:I137"/>
    <mergeCell ref="J133:J137"/>
    <mergeCell ref="K133:K137"/>
    <mergeCell ref="L133:L137"/>
    <mergeCell ref="M133:M137"/>
    <mergeCell ref="N134:N136"/>
    <mergeCell ref="O134:O136"/>
    <mergeCell ref="H26:H30"/>
    <mergeCell ref="I26:I30"/>
    <mergeCell ref="J26:J30"/>
    <mergeCell ref="K26:K30"/>
    <mergeCell ref="L26:L30"/>
    <mergeCell ref="M26:M30"/>
    <mergeCell ref="AF26:AF30"/>
    <mergeCell ref="AG26:AG30"/>
    <mergeCell ref="AH26:AH30"/>
    <mergeCell ref="AI26:AI30"/>
    <mergeCell ref="AJ26:AJ30"/>
    <mergeCell ref="AK26:AK30"/>
    <mergeCell ref="N27:N29"/>
    <mergeCell ref="O27:O29"/>
    <mergeCell ref="P27:P29"/>
    <mergeCell ref="Q27:Q29"/>
    <mergeCell ref="R27:R29"/>
    <mergeCell ref="S27:S29"/>
    <mergeCell ref="T27:T29"/>
    <mergeCell ref="U27:U29"/>
    <mergeCell ref="V27:V29"/>
    <mergeCell ref="W27:W29"/>
    <mergeCell ref="X27:X29"/>
    <mergeCell ref="Y27:Y29"/>
    <mergeCell ref="G26:G30"/>
    <mergeCell ref="H43:H47"/>
    <mergeCell ref="I43:I47"/>
    <mergeCell ref="J43:J47"/>
    <mergeCell ref="K43:K47"/>
    <mergeCell ref="L43:L47"/>
    <mergeCell ref="M43:M47"/>
    <mergeCell ref="AF43:AF47"/>
    <mergeCell ref="AG43:AG47"/>
    <mergeCell ref="AH43:AH47"/>
    <mergeCell ref="AI43:AI47"/>
    <mergeCell ref="AJ43:AJ47"/>
    <mergeCell ref="AK43:AK47"/>
    <mergeCell ref="N44:N46"/>
    <mergeCell ref="O44:O46"/>
    <mergeCell ref="P44:P46"/>
    <mergeCell ref="Q44:Q46"/>
    <mergeCell ref="R44:R46"/>
    <mergeCell ref="S44:S46"/>
    <mergeCell ref="T44:T46"/>
    <mergeCell ref="U44:U46"/>
    <mergeCell ref="V44:V46"/>
    <mergeCell ref="W44:W46"/>
    <mergeCell ref="X44:X46"/>
    <mergeCell ref="Y44:Y46"/>
    <mergeCell ref="G43:G47"/>
    <mergeCell ref="H61:H65"/>
    <mergeCell ref="I61:I65"/>
    <mergeCell ref="J61:J65"/>
    <mergeCell ref="K61:K65"/>
    <mergeCell ref="L61:L65"/>
    <mergeCell ref="M61:M65"/>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61:G65"/>
  </mergeCells>
  <dataValidations count="525">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textLength" operator="lessThanOrEqual" allowBlank="1" showInputMessage="1" showErrorMessage="1" errorTitle="Ошибка" error="Допускается ввод не более 900 символов!" sqref="K1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decimal" allowBlank="1" showErrorMessage="1" errorTitle="Ошибка" error="Допускается ввод только неотрицательных чисел!" sqref="AE135">
      <formula1>0</formula1>
      <formula2>9.99999999999999E+23</formula2>
    </dataValidation>
    <dataValidation type="decimal" allowBlank="1" showErrorMessage="1" errorTitle="Ошибка" error="Допускается ввод только неотрицательных чисел!" sqref="AC135">
      <formula1>0</formula1>
      <formula2>9.99999999999999E+23</formula2>
    </dataValidation>
    <dataValidation type="textLength" operator="lessThanOrEqual" allowBlank="1" showInputMessage="1" showErrorMessage="1" errorTitle="Ошибка" error="Допускается ввод не более 900 символов!" sqref="K1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textLength" operator="lessThanOrEqual" allowBlank="1" showInputMessage="1" showErrorMessage="1" errorTitle="Ошибка" error="Допускается ввод не более 900 символов!" sqref="K1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textLength" operator="lessThanOrEqual" allowBlank="1" showInputMessage="1" showErrorMessage="1" errorTitle="Ошибка" error="Допускается ввод не более 900 символов!" sqref="M133">
      <formula1>900</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textLength" operator="lessThanOrEqual" allowBlank="1" showInputMessage="1" showErrorMessage="1" errorTitle="Ошибка" error="Допускается ввод не более 900 символов!" sqref="K1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decimal" allowBlank="1" showErrorMessage="1" errorTitle="Ошибка" error="Допускается ввод только неотрицательных чисел!" sqref="AE129">
      <formula1>0</formula1>
      <formula2>9.99999999999999E+23</formula2>
    </dataValidation>
    <dataValidation type="decimal" allowBlank="1" showErrorMessage="1" errorTitle="Ошибка" error="Допускается ввод только неотрицательных чисел!" sqref="AC129">
      <formula1>0</formula1>
      <formula2>9.99999999999999E+23</formula2>
    </dataValidation>
    <dataValidation type="textLength" operator="lessThanOrEqual" allowBlank="1" showInputMessage="1" showErrorMessage="1" errorTitle="Ошибка" error="Допускается ввод не более 900 символов!" sqref="K1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textLength" operator="lessThanOrEqual" allowBlank="1" showInputMessage="1" showErrorMessage="1" errorTitle="Ошибка" error="Допускается ввод не более 900 символов!" sqref="K1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textLength" operator="lessThanOrEqual" allowBlank="1" showInputMessage="1" showErrorMessage="1" errorTitle="Ошибка" error="Допускается ввод не более 900 символов!" sqref="M127">
      <formula1>900</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textLength" operator="lessThanOrEqual" allowBlank="1" showInputMessage="1" showErrorMessage="1" errorTitle="Ошибка" error="Допускается ввод не более 900 символов!" sqref="K1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decimal" allowBlank="1" showErrorMessage="1" errorTitle="Ошибка" error="Допускается ввод только неотрицательных чисел!" sqref="AE123">
      <formula1>0</formula1>
      <formula2>9.99999999999999E+23</formula2>
    </dataValidation>
    <dataValidation type="decimal" allowBlank="1" showErrorMessage="1" errorTitle="Ошибка" error="Допускается ввод только неотрицательных чисел!" sqref="AC123">
      <formula1>0</formula1>
      <formula2>9.99999999999999E+23</formula2>
    </dataValidation>
    <dataValidation type="textLength" operator="lessThanOrEqual" allowBlank="1" showInputMessage="1" showErrorMessage="1" errorTitle="Ошибка" error="Допускается ввод не более 900 символов!" sqref="K1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textLength" operator="lessThanOrEqual" allowBlank="1" showInputMessage="1" showErrorMessage="1" errorTitle="Ошибка" error="Допускается ввод не более 900 символов!" sqref="K1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textLength" operator="lessThanOrEqual" allowBlank="1" showInputMessage="1" showErrorMessage="1" errorTitle="Ошибка" error="Допускается ввод не более 900 символов!" sqref="M121">
      <formula1>900</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decimal" allowBlank="1" showErrorMessage="1" errorTitle="Ошибка" error="Допускается ввод только неотрицательных чисел!" sqref="AE117">
      <formula1>0</formula1>
      <formula2>9.99999999999999E+23</formula2>
    </dataValidation>
    <dataValidation type="decimal" allowBlank="1" showErrorMessage="1" errorTitle="Ошибка" error="Допускается ввод только неотрицательных чисел!" sqref="AC117">
      <formula1>0</formula1>
      <formula2>9.99999999999999E+23</formula2>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M115">
      <formula1>900</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decimal" allowBlank="1" showErrorMessage="1" errorTitle="Ошибка" error="Допускается ввод только неотрицательных чисел!" sqref="AE111">
      <formula1>0</formula1>
      <formula2>9.99999999999999E+23</formula2>
    </dataValidation>
    <dataValidation type="decimal" allowBlank="1" showErrorMessage="1" errorTitle="Ошибка" error="Допускается ввод только неотрицательных чисел!" sqref="AC111">
      <formula1>0</formula1>
      <formula2>9.99999999999999E+23</formula2>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textLength" operator="lessThanOrEqual" allowBlank="1" showInputMessage="1" showErrorMessage="1" errorTitle="Ошибка" error="Допускается ввод не более 900 символов!" sqref="M109">
      <formula1>900</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decimal" allowBlank="1" showErrorMessage="1" errorTitle="Ошибка" error="Допускается ввод только неотрицательных чисел!" sqref="AE105">
      <formula1>0</formula1>
      <formula2>9.99999999999999E+23</formula2>
    </dataValidation>
    <dataValidation type="decimal" allowBlank="1" showErrorMessage="1" errorTitle="Ошибка" error="Допускается ввод только неотрицательных чисел!" sqref="AC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M103">
      <formula1>900</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M97">
      <formula1>900</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textLength" operator="lessThanOrEqual" allowBlank="1" showInputMessage="1" showErrorMessage="1" errorTitle="Ошибка" error="Допускается ввод не более 900 символов!" sqref="M91">
      <formula1>900</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decimal" allowBlank="1" showErrorMessage="1" errorTitle="Ошибка" error="Допускается ввод только неотрицательных чисел!" sqref="AE87">
      <formula1>0</formula1>
      <formula2>9.99999999999999E+23</formula2>
    </dataValidation>
    <dataValidation type="decimal" allowBlank="1" showErrorMessage="1" errorTitle="Ошибка" error="Допускается ввод только неотрицательных чисел!" sqref="AC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textLength" operator="lessThanOrEqual" allowBlank="1" showInputMessage="1" showErrorMessage="1" errorTitle="Ошибка" error="Допускается ввод не более 900 символов!" sqref="M85">
      <formula1>900</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decimal" allowBlank="1" showErrorMessage="1" errorTitle="Ошибка" error="Допускается ввод только неотрицательных чисел!" sqref="AE81">
      <formula1>0</formula1>
      <formula2>9.99999999999999E+23</formula2>
    </dataValidation>
    <dataValidation type="decimal" allowBlank="1" showErrorMessage="1" errorTitle="Ошибка" error="Допускается ввод только неотрицательных чисел!" sqref="AC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textLength" operator="lessThanOrEqual" allowBlank="1" showInputMessage="1" showErrorMessage="1" errorTitle="Ошибка" error="Допускается ввод не более 900 символов!" sqref="M79">
      <formula1>900</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decimal" allowBlank="1" showErrorMessage="1" errorTitle="Ошибка" error="Допускается ввод только неотрицательных чисел!" sqref="AE75">
      <formula1>0</formula1>
      <formula2>9.99999999999999E+23</formula2>
    </dataValidation>
    <dataValidation type="decimal" allowBlank="1" showErrorMessage="1" errorTitle="Ошибка" error="Допускается ввод только неотрицательных чисел!" sqref="AC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textLength" operator="lessThanOrEqual" allowBlank="1" showInputMessage="1" showErrorMessage="1" errorTitle="Ошибка" error="Допускается ввод не более 900 символов!" sqref="M73">
      <formula1>900</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decimal" allowBlank="1" showErrorMessage="1" errorTitle="Ошибка" error="Допускается ввод только неотрицательных чисел!" sqref="AE69">
      <formula1>0</formula1>
      <formula2>9.99999999999999E+23</formula2>
    </dataValidation>
    <dataValidation type="decimal" allowBlank="1" showErrorMessage="1" errorTitle="Ошибка" error="Допускается ввод только неотрицательных чисел!" sqref="AC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M67">
      <formula1>900</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M50">
      <formula1>900</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M38">
      <formula1>900</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M21">
      <formula1>900</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textLength" operator="lessThanOrEqual" allowBlank="1" showInputMessage="1" showErrorMessage="1" errorTitle="Ошибка" error="Допускается ввод не более 900 символов!" sqref="M43">
      <formula1>900</formula1>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textLength" operator="lessThanOrEqual" allowBlank="1" showInputMessage="1" showErrorMessage="1" errorTitle="Ошибка" error="Допускается ввод не более 900 символов!" sqref="M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0E58A-C6ED-9153-F128-0.19CB3812}" mc:Ignorable="x14ac xr xr2 xr3">
  <sheetPr>
    <tabColor theme="9" tint="-0.25"/>
  </sheetPr>
  <dimension ref="A1:AS59"/>
  <sheetViews>
    <sheetView topLeftCell="A1" showGridLines="0" zoomScale="85" workbookViewId="0">
      <selection activeCell="AE1" sqref="AE1:AE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5" style="1638" width="21.7109375" hidden="1" customWidth="1"/>
    <col min="16" max="16" style="1638" width="0.140625" customWidth="1"/>
    <col min="17" max="31" style="1638" width="21.7109375" hidden="1" customWidth="1"/>
    <col min="32" max="32" style="1638" width="0.140625" customWidth="1"/>
    <col min="33" max="33" style="1638" width="1.00390625" customWidth="1"/>
    <col min="34" max="44" style="1638" width="8.00390625" customWidth="1"/>
    <col min="45" max="45" style="1638" width="9.140625" hidden="1"/>
  </cols>
  <sheetData>
    <row s="1369" customFormat="1" customHeight="1" ht="10.5" hidden="1">
      <c r="A1" s="1169"/>
      <c r="B1" s="1169"/>
      <c r="C1" s="1169"/>
      <c r="E1" s="540"/>
      <c r="K1" s="1369"/>
      <c r="L1" s="1369"/>
      <c r="M1" s="1369"/>
      <c r="N1" s="1369"/>
      <c r="O1" s="1369"/>
      <c r="P1" s="1369"/>
      <c r="Q1" s="1369"/>
      <c r="R1" s="1369"/>
      <c r="S1" s="1369"/>
      <c r="T1" s="1369"/>
      <c r="U1" s="1369"/>
      <c r="V1" s="1369"/>
      <c r="W1" s="1369"/>
      <c r="X1" s="1369"/>
      <c r="Y1" s="1369"/>
      <c r="Z1" s="1369"/>
      <c r="AA1" s="1369"/>
      <c r="AB1" s="1369"/>
      <c r="AC1" s="1369"/>
      <c r="AD1" s="1369"/>
      <c r="AE1" s="1369"/>
      <c r="AF1" s="1369"/>
      <c r="AS1" s="1163" t="s">
        <v>14</v>
      </c>
    </row>
    <row customHeight="1" ht="10.5" hidden="1">
      <c r="K2" s="1638"/>
      <c r="L2" s="1638"/>
      <c r="M2" s="1638"/>
      <c r="N2" s="1638"/>
      <c r="O2" s="1638"/>
      <c r="P2" s="1638"/>
      <c r="Q2" s="1638"/>
      <c r="R2" s="1638"/>
      <c r="S2" s="1638"/>
      <c r="T2" s="1638"/>
      <c r="U2" s="1638"/>
      <c r="V2" s="1638"/>
      <c r="W2" s="1638"/>
      <c r="X2" s="1638"/>
      <c r="Y2" s="1638"/>
      <c r="Z2" s="1638"/>
      <c r="AA2" s="1638"/>
      <c r="AB2" s="1638"/>
      <c r="AC2" s="1638"/>
      <c r="AD2" s="1638"/>
      <c r="AE2" s="1638"/>
      <c r="AF2" s="1638"/>
      <c r="AS2" s="1158">
        <v>0</v>
      </c>
    </row>
    <row s="1635" customFormat="1" customHeight="1" ht="10.5" hidden="1">
      <c r="A3" s="1169"/>
      <c r="B3" s="1169"/>
      <c r="C3" s="1169"/>
      <c r="D3" s="1163"/>
      <c r="E3" s="365"/>
      <c r="K3" s="1635"/>
      <c r="L3" s="1635"/>
      <c r="M3" s="1635"/>
      <c r="N3" s="1635"/>
      <c r="O3" s="1635"/>
      <c r="P3" s="1635"/>
      <c r="Q3" s="1635"/>
      <c r="R3" s="1635"/>
      <c r="S3" s="1635"/>
      <c r="T3" s="1635"/>
      <c r="U3" s="1635"/>
      <c r="V3" s="1635"/>
      <c r="W3" s="1635"/>
      <c r="X3" s="1635"/>
      <c r="Y3" s="1635"/>
      <c r="Z3" s="1635"/>
      <c r="AA3" s="1635"/>
      <c r="AB3" s="1635"/>
      <c r="AC3" s="1635"/>
      <c r="AD3" s="1635"/>
      <c r="AE3" s="1635"/>
      <c r="AF3" s="1635"/>
      <c r="AS3" s="1159">
        <v>0</v>
      </c>
    </row>
    <row customHeight="1" ht="3">
      <c r="K4" s="1638"/>
      <c r="L4" s="1638"/>
      <c r="M4" s="1638"/>
      <c r="N4" s="1638"/>
      <c r="O4" s="1638"/>
      <c r="P4" s="1638"/>
      <c r="Q4" s="1638"/>
      <c r="R4" s="1638"/>
      <c r="S4" s="1638"/>
      <c r="T4" s="1638"/>
      <c r="U4" s="1638"/>
      <c r="V4" s="1638"/>
      <c r="W4" s="1638"/>
      <c r="X4" s="1638"/>
      <c r="Y4" s="1638"/>
      <c r="Z4" s="1638"/>
      <c r="AA4" s="1638"/>
      <c r="AB4" s="1638"/>
      <c r="AC4" s="1638"/>
      <c r="AD4" s="1638"/>
      <c r="AE4" s="1638"/>
      <c r="AF4" s="1638"/>
      <c r="AS4" s="1158">
        <v>3</v>
      </c>
    </row>
    <row customHeight="1" ht="27.299999999999997">
      <c r="F5" s="227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0"/>
      <c r="H5" s="2270"/>
      <c r="I5" s="2270"/>
      <c r="J5" s="2270"/>
      <c r="K5" s="2270"/>
      <c r="L5" s="2270"/>
      <c r="M5" s="2270"/>
      <c r="N5" s="2270"/>
      <c r="O5" s="2270"/>
      <c r="P5" s="2270"/>
      <c r="Q5" s="2270"/>
      <c r="R5" s="2270"/>
      <c r="S5" s="2270"/>
      <c r="T5" s="2270"/>
      <c r="U5" s="2270"/>
      <c r="V5" s="2270"/>
      <c r="W5" s="2270"/>
      <c r="X5" s="2270"/>
      <c r="Y5" s="2270"/>
      <c r="Z5" s="2270"/>
      <c r="AA5" s="2270"/>
      <c r="AB5" s="2270"/>
      <c r="AC5" s="2270"/>
      <c r="AD5" s="2270"/>
      <c r="AE5" s="2270"/>
      <c r="AF5" s="2270"/>
      <c r="AS5" s="1158">
        <v>26</v>
      </c>
    </row>
    <row customHeight="1" ht="10.5">
      <c r="F6" s="2198" t="str">
        <f>IF(org=0,"Не определено",org)</f>
        <v>АО "Водоканал"</v>
      </c>
      <c r="G6" s="2198"/>
      <c r="H6" s="2198"/>
      <c r="I6" s="2198"/>
      <c r="J6" s="2198"/>
      <c r="K6" s="2271"/>
      <c r="L6" s="2271"/>
      <c r="M6" s="2271"/>
      <c r="N6" s="2271"/>
      <c r="O6" s="2271"/>
      <c r="P6" s="2271"/>
      <c r="Q6" s="2271"/>
      <c r="R6" s="2271"/>
      <c r="S6" s="2271"/>
      <c r="T6" s="2271"/>
      <c r="U6" s="2271"/>
      <c r="V6" s="2271"/>
      <c r="W6" s="2271"/>
      <c r="X6" s="2271"/>
      <c r="Y6" s="2271"/>
      <c r="Z6" s="2271"/>
      <c r="AA6" s="2271"/>
      <c r="AB6" s="2271"/>
      <c r="AC6" s="2271"/>
      <c r="AD6" s="2271"/>
      <c r="AE6" s="2271"/>
      <c r="AF6" s="2271"/>
      <c r="AS6" s="1158">
        <v>10</v>
      </c>
    </row>
    <row customHeight="1" ht="11.549999999999999">
      <c r="E7" s="1173"/>
      <c r="F7" s="1230"/>
      <c r="G7" s="1230"/>
      <c r="H7" s="1230"/>
      <c r="I7" s="1230"/>
      <c r="J7" s="1230"/>
      <c r="K7" s="1230" t="s">
        <v>22</v>
      </c>
      <c r="L7" s="1230"/>
      <c r="M7" s="1230" t="s">
        <v>22</v>
      </c>
      <c r="N7" s="1230" t="s">
        <v>22</v>
      </c>
      <c r="O7" s="1230" t="s">
        <v>22</v>
      </c>
      <c r="P7" s="1230"/>
      <c r="Q7" s="1230" t="s">
        <v>22</v>
      </c>
      <c r="R7" s="1230"/>
      <c r="S7" s="1230" t="s">
        <v>22</v>
      </c>
      <c r="T7" s="1230" t="s">
        <v>22</v>
      </c>
      <c r="U7" s="1230" t="s">
        <v>22</v>
      </c>
      <c r="V7" s="1230" t="s">
        <v>22</v>
      </c>
      <c r="W7" s="1230" t="s">
        <v>22</v>
      </c>
      <c r="X7" s="1230" t="s">
        <v>22</v>
      </c>
      <c r="Y7" s="1230" t="s">
        <v>22</v>
      </c>
      <c r="Z7" s="1230" t="s">
        <v>22</v>
      </c>
      <c r="AA7" s="1230" t="s">
        <v>22</v>
      </c>
      <c r="AB7" s="1230" t="s">
        <v>22</v>
      </c>
      <c r="AC7" s="1230" t="s">
        <v>22</v>
      </c>
      <c r="AD7" s="1230" t="s">
        <v>22</v>
      </c>
      <c r="AE7" s="1230" t="s">
        <v>22</v>
      </c>
      <c r="AF7" s="1230"/>
      <c r="AG7" s="1160"/>
      <c r="AH7" s="1160"/>
      <c r="AI7" s="1160"/>
      <c r="AJ7" s="1160"/>
      <c r="AK7" s="1160"/>
      <c r="AL7" s="1160"/>
      <c r="AM7" s="1160"/>
      <c r="AN7" s="1160"/>
      <c r="AO7" s="1160"/>
      <c r="AP7" s="1160"/>
      <c r="AQ7" s="1160"/>
      <c r="AR7" s="1160"/>
      <c r="AS7" s="1158">
        <v>11</v>
      </c>
    </row>
    <row s="1645" customFormat="1" customHeight="1" ht="4.2">
      <c r="A8" s="1170"/>
      <c r="B8" s="1170"/>
      <c r="C8" s="1170"/>
      <c r="E8" s="1231"/>
      <c r="F8" s="1232"/>
      <c r="G8" s="1232"/>
      <c r="H8" s="1232"/>
      <c r="I8" s="1232"/>
      <c r="J8" s="1232"/>
      <c r="K8" s="1232" t="s">
        <v>1019</v>
      </c>
      <c r="L8" s="1232"/>
      <c r="M8" s="1232"/>
      <c r="N8" s="1232"/>
      <c r="O8" s="1232"/>
      <c r="P8" s="1232"/>
      <c r="Q8" s="1232" t="s">
        <v>1027</v>
      </c>
      <c r="R8" s="1232"/>
      <c r="S8" s="1232"/>
      <c r="T8" s="1232"/>
      <c r="U8" s="1232"/>
      <c r="V8" s="1232"/>
      <c r="W8" s="1232"/>
      <c r="X8" s="1232"/>
      <c r="Y8" s="1232"/>
      <c r="Z8" s="1232"/>
      <c r="AA8" s="1232"/>
      <c r="AB8" s="1232"/>
      <c r="AC8" s="1232"/>
      <c r="AD8" s="1232"/>
      <c r="AE8" s="1232"/>
      <c r="AF8" s="1232"/>
      <c r="AG8" s="1231"/>
      <c r="AH8" s="1231"/>
      <c r="AI8" s="1231"/>
      <c r="AJ8" s="1231"/>
      <c r="AK8" s="1231"/>
      <c r="AL8" s="1231"/>
      <c r="AM8" s="1231"/>
      <c r="AN8" s="1231"/>
      <c r="AO8" s="1231"/>
      <c r="AP8" s="1231"/>
      <c r="AQ8" s="1231"/>
      <c r="AR8" s="1231"/>
      <c r="AS8" s="514">
        <v>4</v>
      </c>
    </row>
    <row customHeight="1" ht="10.5">
      <c r="E9" s="1173"/>
      <c r="F9" s="2441" t="s">
        <v>301</v>
      </c>
      <c r="G9" s="2442"/>
      <c r="H9" s="2442"/>
      <c r="I9" s="2442"/>
      <c r="J9" s="2442"/>
      <c r="K9" s="2442"/>
      <c r="L9" s="2442"/>
      <c r="M9" s="2442"/>
      <c r="N9" s="2442"/>
      <c r="O9" s="2442"/>
      <c r="P9" s="2442"/>
      <c r="Q9" s="2442"/>
      <c r="R9" s="2442"/>
      <c r="S9" s="2442"/>
      <c r="T9" s="2442"/>
      <c r="U9" s="2442"/>
      <c r="V9" s="2442"/>
      <c r="W9" s="2442"/>
      <c r="X9" s="2442"/>
      <c r="Y9" s="2442"/>
      <c r="Z9" s="2442"/>
      <c r="AA9" s="2442"/>
      <c r="AB9" s="2442"/>
      <c r="AC9" s="2442"/>
      <c r="AD9" s="2442"/>
      <c r="AE9" s="2442"/>
      <c r="AF9" s="2442"/>
      <c r="AG9" s="1243"/>
      <c r="AH9" s="1160"/>
      <c r="AI9" s="1160"/>
      <c r="AJ9" s="1160"/>
      <c r="AK9" s="1160"/>
      <c r="AL9" s="1160"/>
      <c r="AM9" s="1160"/>
      <c r="AN9" s="1160"/>
      <c r="AO9" s="1160"/>
      <c r="AP9" s="1160"/>
      <c r="AQ9" s="1160"/>
      <c r="AR9" s="1160"/>
      <c r="AS9" s="1158">
        <v>10</v>
      </c>
    </row>
    <row customHeight="1" ht="25.2">
      <c r="E10" s="1160"/>
      <c r="F10" s="2445" t="s">
        <v>88</v>
      </c>
      <c r="G10" s="2450" t="s">
        <v>1071</v>
      </c>
      <c r="H10" s="2448" t="s">
        <v>1072</v>
      </c>
      <c r="I10" s="2448"/>
      <c r="J10" s="2448"/>
      <c r="K10" s="2448" t="s">
        <v>1072</v>
      </c>
      <c r="L10" s="2448"/>
      <c r="M10" s="2448"/>
      <c r="N10" s="2448"/>
      <c r="O10" s="2448"/>
      <c r="P10" s="2448"/>
      <c r="Q10" s="2448" t="s">
        <v>1072</v>
      </c>
      <c r="R10" s="2448"/>
      <c r="S10" s="2448"/>
      <c r="T10" s="2448"/>
      <c r="U10" s="2448"/>
      <c r="V10" s="2448"/>
      <c r="W10" s="2448"/>
      <c r="X10" s="2448"/>
      <c r="Y10" s="2448"/>
      <c r="Z10" s="2448"/>
      <c r="AA10" s="2448"/>
      <c r="AB10" s="2448"/>
      <c r="AC10" s="2448"/>
      <c r="AD10" s="2448"/>
      <c r="AE10" s="2448"/>
      <c r="AF10" s="2448"/>
      <c r="AG10" s="1236"/>
      <c r="AH10" s="1160"/>
      <c r="AI10" s="1160"/>
      <c r="AJ10" s="1160"/>
      <c r="AK10" s="1160"/>
      <c r="AL10" s="1160"/>
      <c r="AM10" s="1160"/>
      <c r="AN10" s="1160"/>
      <c r="AO10" s="1160"/>
      <c r="AP10" s="1160"/>
      <c r="AQ10" s="1160"/>
      <c r="AR10" s="1160"/>
      <c r="AS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2449" t="str">
        <f>INDEX(IP_MAIN_LIST_NAME_IP,MATCH(K8,IP_MAIN_LIST_IP_ID,0))&amp;" ("&amp;INDEX(IP_MAIN_START_DATE,MATCH(K8,IP_MAIN_LIST_IP_ID,0))&amp;"-"&amp;INDEX(IP_MAIN_END_DATE,MATCH(K8,IP_MAIN_LIST_IP_ID,0))&amp;")"</f>
        <v>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 (01.01.2024-31.12.2027)</v>
      </c>
      <c r="L11" s="2449"/>
      <c r="M11" s="2449"/>
      <c r="N11" s="2449"/>
      <c r="O11" s="2449"/>
      <c r="P11" s="2449"/>
      <c r="Q11" s="2449" t="str">
        <f>INDEX(IP_MAIN_LIST_NAME_IP,MATCH(Q8,IP_MAIN_LIST_IP_ID,0))&amp;" ("&amp;INDEX(IP_MAIN_START_DATE,MATCH(Q8,IP_MAIN_LIST_IP_ID,0))&amp;"-"&amp;INDEX(IP_MAIN_END_DATE,MATCH(Q8,IP_MAIN_LIST_IP_ID,0))&amp;")"</f>
        <v>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 (28.06.2024-31.12.2037)</v>
      </c>
      <c r="R11" s="2449"/>
      <c r="S11" s="2449"/>
      <c r="T11" s="2449"/>
      <c r="U11" s="2449"/>
      <c r="V11" s="2449"/>
      <c r="W11" s="2449"/>
      <c r="X11" s="2449"/>
      <c r="Y11" s="2449"/>
      <c r="Z11" s="2449"/>
      <c r="AA11" s="2449"/>
      <c r="AB11" s="2449"/>
      <c r="AC11" s="2449"/>
      <c r="AD11" s="2449"/>
      <c r="AE11" s="2449"/>
      <c r="AF11" s="2449"/>
      <c r="AG11" s="1236"/>
      <c r="AH11" s="1160"/>
      <c r="AI11" s="1160"/>
      <c r="AJ11" s="1160"/>
      <c r="AK11" s="1160"/>
      <c r="AL11" s="1160"/>
      <c r="AM11" s="1160"/>
      <c r="AN11" s="1160"/>
      <c r="AO11" s="1160"/>
      <c r="AP11" s="1160"/>
      <c r="AQ11" s="1160"/>
      <c r="AR11" s="1160"/>
      <c r="AS11" s="1158">
        <v>24</v>
      </c>
    </row>
    <row customHeight="1" ht="10.5">
      <c r="F12" s="2447"/>
      <c r="G12" s="2450"/>
      <c r="H12" s="1229" t="s">
        <v>1073</v>
      </c>
      <c r="I12" s="1235"/>
      <c r="J12" s="1229"/>
      <c r="K12" s="2450" t="s">
        <v>1073</v>
      </c>
      <c r="L12" s="1235">
        <v>2024</v>
      </c>
      <c r="M12" s="1235">
        <v>2025</v>
      </c>
      <c r="N12" s="1235">
        <v>2026</v>
      </c>
      <c r="O12" s="1235">
        <v>2027</v>
      </c>
      <c r="P12" s="2450"/>
      <c r="Q12" s="2450" t="s">
        <v>1073</v>
      </c>
      <c r="R12" s="1235">
        <v>2024</v>
      </c>
      <c r="S12" s="1235">
        <v>2025</v>
      </c>
      <c r="T12" s="1235">
        <v>2026</v>
      </c>
      <c r="U12" s="1235">
        <v>2027</v>
      </c>
      <c r="V12" s="1235">
        <v>2028</v>
      </c>
      <c r="W12" s="1235">
        <v>2029</v>
      </c>
      <c r="X12" s="1235">
        <v>2030</v>
      </c>
      <c r="Y12" s="1235">
        <v>2031</v>
      </c>
      <c r="Z12" s="1235">
        <v>2032</v>
      </c>
      <c r="AA12" s="1235">
        <v>2033</v>
      </c>
      <c r="AB12" s="1235">
        <v>2034</v>
      </c>
      <c r="AC12" s="1235">
        <v>2035</v>
      </c>
      <c r="AD12" s="1235">
        <v>2036</v>
      </c>
      <c r="AE12" s="1235">
        <v>2037</v>
      </c>
      <c r="AF12" s="2450"/>
      <c r="AG12" s="1237"/>
      <c r="AS12" s="1158">
        <v>10</v>
      </c>
    </row>
    <row customHeight="1" ht="10.5" hidden="1">
      <c r="F13" s="1229">
        <v>1</v>
      </c>
      <c r="G13" s="1229">
        <v>2</v>
      </c>
      <c r="H13" s="1229">
        <v>3</v>
      </c>
      <c r="I13" s="1229">
        <v>4</v>
      </c>
      <c r="J13" s="1229">
        <v>5</v>
      </c>
      <c r="K13" s="2450">
        <v>3</v>
      </c>
      <c r="L13" s="2450">
        <v>4</v>
      </c>
      <c r="M13" s="2450">
        <v>4</v>
      </c>
      <c r="N13" s="2450">
        <v>4</v>
      </c>
      <c r="O13" s="2450">
        <v>4</v>
      </c>
      <c r="P13" s="2450">
        <v>5</v>
      </c>
      <c r="Q13" s="2450">
        <v>3</v>
      </c>
      <c r="R13" s="2450">
        <v>4</v>
      </c>
      <c r="S13" s="2450">
        <v>4</v>
      </c>
      <c r="T13" s="2450">
        <v>4</v>
      </c>
      <c r="U13" s="2450">
        <v>4</v>
      </c>
      <c r="V13" s="2450">
        <v>4</v>
      </c>
      <c r="W13" s="2450">
        <v>4</v>
      </c>
      <c r="X13" s="2450">
        <v>4</v>
      </c>
      <c r="Y13" s="2450">
        <v>4</v>
      </c>
      <c r="Z13" s="2450">
        <v>4</v>
      </c>
      <c r="AA13" s="2450">
        <v>4</v>
      </c>
      <c r="AB13" s="2450">
        <v>4</v>
      </c>
      <c r="AC13" s="2450">
        <v>4</v>
      </c>
      <c r="AD13" s="2450">
        <v>4</v>
      </c>
      <c r="AE13" s="2450">
        <v>4</v>
      </c>
      <c r="AF13" s="2450">
        <v>5</v>
      </c>
      <c r="AG13" s="1237"/>
      <c r="AS13" s="1158">
        <v>0</v>
      </c>
    </row>
    <row customHeight="1" ht="11.549999999999999">
      <c r="F14" s="1228" t="s">
        <v>1074</v>
      </c>
      <c r="G14" s="2443" t="s">
        <v>1075</v>
      </c>
      <c r="H14" s="2443"/>
      <c r="I14" s="2443"/>
      <c r="J14" s="2443"/>
      <c r="K14" s="2443"/>
      <c r="L14" s="2443"/>
      <c r="M14" s="2443"/>
      <c r="N14" s="2443"/>
      <c r="O14" s="2443"/>
      <c r="P14" s="2443"/>
      <c r="Q14" s="2443"/>
      <c r="R14" s="2443"/>
      <c r="S14" s="2443"/>
      <c r="T14" s="2443"/>
      <c r="U14" s="2443"/>
      <c r="V14" s="2443"/>
      <c r="W14" s="2443"/>
      <c r="X14" s="2443"/>
      <c r="Y14" s="2443"/>
      <c r="Z14" s="2443"/>
      <c r="AA14" s="2443"/>
      <c r="AB14" s="2443"/>
      <c r="AC14" s="2443"/>
      <c r="AD14" s="2443"/>
      <c r="AE14" s="2443"/>
      <c r="AF14" s="2443"/>
      <c r="AG14" s="1237"/>
      <c r="AS14" s="1158">
        <v>11</v>
      </c>
    </row>
    <row customHeight="1" ht="11.549999999999999">
      <c r="F15" s="1233">
        <v>1</v>
      </c>
      <c r="G15" s="693" t="s">
        <v>1076</v>
      </c>
      <c r="H15" s="1239">
        <f>SUM(I15:J15)</f>
        <v>0</v>
      </c>
      <c r="I15" s="1239">
        <f>SUM(I16:I27)</f>
        <v>0</v>
      </c>
      <c r="J15" s="1228"/>
      <c r="K15" s="1239">
        <f>SUM(L15:P15)</f>
        <v>0</v>
      </c>
      <c r="L15" s="1239">
        <f>SUM(L16:L27)</f>
        <v>0</v>
      </c>
      <c r="M15" s="1239">
        <f>SUM(M16:M27)</f>
        <v>0</v>
      </c>
      <c r="N15" s="1239">
        <f>SUM(N16:N27)</f>
        <v>0</v>
      </c>
      <c r="O15" s="1239">
        <f>SUM(O16:O27)</f>
        <v>0</v>
      </c>
      <c r="P15" s="2448"/>
      <c r="Q15" s="1239">
        <f>SUM(R15:AF15)</f>
        <v>0</v>
      </c>
      <c r="R15" s="1239">
        <f>SUM(R16:R27)</f>
        <v>0</v>
      </c>
      <c r="S15" s="1239">
        <f>SUM(S16:S27)</f>
        <v>0</v>
      </c>
      <c r="T15" s="1239">
        <f>SUM(T16:T27)</f>
        <v>0</v>
      </c>
      <c r="U15" s="1239">
        <f>SUM(U16:U27)</f>
        <v>0</v>
      </c>
      <c r="V15" s="1239">
        <f>SUM(V16:V27)</f>
        <v>0</v>
      </c>
      <c r="W15" s="1239">
        <f>SUM(W16:W27)</f>
        <v>0</v>
      </c>
      <c r="X15" s="1239">
        <f>SUM(X16:X27)</f>
        <v>0</v>
      </c>
      <c r="Y15" s="1239">
        <f>SUM(Y16:Y27)</f>
        <v>0</v>
      </c>
      <c r="Z15" s="1239">
        <f>SUM(Z16:Z27)</f>
        <v>0</v>
      </c>
      <c r="AA15" s="1239">
        <f>SUM(AA16:AA27)</f>
        <v>0</v>
      </c>
      <c r="AB15" s="1239">
        <f>SUM(AB16:AB27)</f>
        <v>0</v>
      </c>
      <c r="AC15" s="1239">
        <f>SUM(AC16:AC27)</f>
        <v>0</v>
      </c>
      <c r="AD15" s="1239">
        <f>SUM(AD16:AD27)</f>
        <v>0</v>
      </c>
      <c r="AE15" s="1239">
        <f>SUM(AE16:AE27)</f>
        <v>0</v>
      </c>
      <c r="AF15" s="2448"/>
      <c r="AG15" s="1237"/>
      <c r="AS15" s="1158">
        <v>11</v>
      </c>
    </row>
    <row customHeight="1" ht="24">
      <c r="F16" s="1233" t="s">
        <v>1077</v>
      </c>
      <c r="G16" s="1240" t="s">
        <v>1078</v>
      </c>
      <c r="H16" s="1239">
        <f>SUM(I16:J16)</f>
        <v>0</v>
      </c>
      <c r="I16" s="1238"/>
      <c r="J16" s="1228"/>
      <c r="K16" s="1239">
        <f>SUM(L16:P16)</f>
        <v>0</v>
      </c>
      <c r="L16" s="1238"/>
      <c r="M16" s="1238"/>
      <c r="N16" s="1238"/>
      <c r="O16" s="1238"/>
      <c r="P16" s="2448"/>
      <c r="Q16" s="1239">
        <f>SUM(R16:AF16)</f>
        <v>0</v>
      </c>
      <c r="R16" s="1238"/>
      <c r="S16" s="1238"/>
      <c r="T16" s="1238"/>
      <c r="U16" s="1238"/>
      <c r="V16" s="1238"/>
      <c r="W16" s="1238"/>
      <c r="X16" s="1238"/>
      <c r="Y16" s="1238"/>
      <c r="Z16" s="1238"/>
      <c r="AA16" s="1238"/>
      <c r="AB16" s="1238"/>
      <c r="AC16" s="1238"/>
      <c r="AD16" s="1238"/>
      <c r="AE16" s="1238"/>
      <c r="AF16" s="2448"/>
      <c r="AG16" s="1237"/>
      <c r="AS16" s="1158">
        <v>23</v>
      </c>
    </row>
    <row customHeight="1" ht="24">
      <c r="F17" s="1233" t="s">
        <v>1079</v>
      </c>
      <c r="G17" s="1240" t="s">
        <v>1080</v>
      </c>
      <c r="H17" s="1239">
        <f>SUM(I17:J17)</f>
        <v>0</v>
      </c>
      <c r="I17" s="1238"/>
      <c r="J17" s="1228"/>
      <c r="K17" s="1239">
        <f>SUM(L17:P17)</f>
        <v>0</v>
      </c>
      <c r="L17" s="1238"/>
      <c r="M17" s="1238"/>
      <c r="N17" s="1238"/>
      <c r="O17" s="1238"/>
      <c r="P17" s="2448"/>
      <c r="Q17" s="1239">
        <f>SUM(R17:AF17)</f>
        <v>0</v>
      </c>
      <c r="R17" s="1238"/>
      <c r="S17" s="1238"/>
      <c r="T17" s="1238"/>
      <c r="U17" s="1238"/>
      <c r="V17" s="1238"/>
      <c r="W17" s="1238"/>
      <c r="X17" s="1238"/>
      <c r="Y17" s="1238"/>
      <c r="Z17" s="1238"/>
      <c r="AA17" s="1238"/>
      <c r="AB17" s="1238"/>
      <c r="AC17" s="1238"/>
      <c r="AD17" s="1238"/>
      <c r="AE17" s="1238"/>
      <c r="AF17" s="2448"/>
      <c r="AG17" s="1237"/>
      <c r="AS17" s="1158">
        <v>23</v>
      </c>
    </row>
    <row customHeight="1" ht="35.699999999999996">
      <c r="F18" s="1233" t="s">
        <v>1081</v>
      </c>
      <c r="G18" s="1240" t="s">
        <v>1082</v>
      </c>
      <c r="H18" s="1239">
        <f>SUM(I18:J18)</f>
        <v>0</v>
      </c>
      <c r="I18" s="1238"/>
      <c r="J18" s="1228"/>
      <c r="K18" s="1239">
        <f>SUM(L18:P18)</f>
        <v>0</v>
      </c>
      <c r="L18" s="1238"/>
      <c r="M18" s="1238"/>
      <c r="N18" s="1238"/>
      <c r="O18" s="1238"/>
      <c r="P18" s="2448"/>
      <c r="Q18" s="1239">
        <f>SUM(R18:AF18)</f>
        <v>0</v>
      </c>
      <c r="R18" s="1238"/>
      <c r="S18" s="1238"/>
      <c r="T18" s="1238"/>
      <c r="U18" s="1238"/>
      <c r="V18" s="1238"/>
      <c r="W18" s="1238"/>
      <c r="X18" s="1238"/>
      <c r="Y18" s="1238"/>
      <c r="Z18" s="1238"/>
      <c r="AA18" s="1238"/>
      <c r="AB18" s="1238"/>
      <c r="AC18" s="1238"/>
      <c r="AD18" s="1238"/>
      <c r="AE18" s="1238"/>
      <c r="AF18" s="2448"/>
      <c r="AG18" s="1237"/>
      <c r="AS18" s="1158">
        <v>34</v>
      </c>
    </row>
    <row customHeight="1" ht="35.699999999999996">
      <c r="F19" s="1233" t="s">
        <v>1083</v>
      </c>
      <c r="G19" s="1240" t="s">
        <v>1084</v>
      </c>
      <c r="H19" s="1239">
        <f>SUM(I19:J19)</f>
        <v>0</v>
      </c>
      <c r="I19" s="1238"/>
      <c r="J19" s="1228"/>
      <c r="K19" s="1239">
        <f>SUM(L19:P19)</f>
        <v>0</v>
      </c>
      <c r="L19" s="1238"/>
      <c r="M19" s="1238"/>
      <c r="N19" s="1238"/>
      <c r="O19" s="1238"/>
      <c r="P19" s="2448"/>
      <c r="Q19" s="1239">
        <f>SUM(R19:AF19)</f>
        <v>0</v>
      </c>
      <c r="R19" s="1238"/>
      <c r="S19" s="1238"/>
      <c r="T19" s="1238"/>
      <c r="U19" s="1238"/>
      <c r="V19" s="1238"/>
      <c r="W19" s="1238"/>
      <c r="X19" s="1238"/>
      <c r="Y19" s="1238"/>
      <c r="Z19" s="1238"/>
      <c r="AA19" s="1238"/>
      <c r="AB19" s="1238"/>
      <c r="AC19" s="1238"/>
      <c r="AD19" s="1238"/>
      <c r="AE19" s="1238"/>
      <c r="AF19" s="2448"/>
      <c r="AG19" s="1237"/>
      <c r="AS19" s="1158">
        <v>34</v>
      </c>
    </row>
    <row customHeight="1" ht="48.29999999999999">
      <c r="F20" s="1233" t="s">
        <v>1085</v>
      </c>
      <c r="G20" s="1240" t="s">
        <v>1086</v>
      </c>
      <c r="H20" s="1239">
        <f>SUM(I20:J20)</f>
        <v>0</v>
      </c>
      <c r="I20" s="1238"/>
      <c r="J20" s="1228"/>
      <c r="K20" s="1239">
        <f>SUM(L20:P20)</f>
        <v>0</v>
      </c>
      <c r="L20" s="1238"/>
      <c r="M20" s="1238"/>
      <c r="N20" s="1238"/>
      <c r="O20" s="1238"/>
      <c r="P20" s="2448"/>
      <c r="Q20" s="1239">
        <f>SUM(R20:AF20)</f>
        <v>0</v>
      </c>
      <c r="R20" s="1238"/>
      <c r="S20" s="1238"/>
      <c r="T20" s="1238"/>
      <c r="U20" s="1238"/>
      <c r="V20" s="1238"/>
      <c r="W20" s="1238"/>
      <c r="X20" s="1238"/>
      <c r="Y20" s="1238"/>
      <c r="Z20" s="1238"/>
      <c r="AA20" s="1238"/>
      <c r="AB20" s="1238"/>
      <c r="AC20" s="1238"/>
      <c r="AD20" s="1238"/>
      <c r="AE20" s="1238"/>
      <c r="AF20" s="2448"/>
      <c r="AG20" s="1237"/>
      <c r="AS20" s="1158">
        <v>46</v>
      </c>
    </row>
    <row customHeight="1" ht="35.699999999999996">
      <c r="F21" s="1233" t="s">
        <v>1087</v>
      </c>
      <c r="G21" s="1240" t="s">
        <v>1088</v>
      </c>
      <c r="H21" s="1239">
        <f>SUM(I21:J21)</f>
        <v>0</v>
      </c>
      <c r="I21" s="1238"/>
      <c r="J21" s="1228"/>
      <c r="K21" s="1239">
        <f>SUM(L21:P21)</f>
        <v>0</v>
      </c>
      <c r="L21" s="1238"/>
      <c r="M21" s="1238"/>
      <c r="N21" s="1238"/>
      <c r="O21" s="1238"/>
      <c r="P21" s="2448"/>
      <c r="Q21" s="1239">
        <f>SUM(R21:AF21)</f>
        <v>0</v>
      </c>
      <c r="R21" s="1238"/>
      <c r="S21" s="1238"/>
      <c r="T21" s="1238"/>
      <c r="U21" s="1238"/>
      <c r="V21" s="1238"/>
      <c r="W21" s="1238"/>
      <c r="X21" s="1238"/>
      <c r="Y21" s="1238"/>
      <c r="Z21" s="1238"/>
      <c r="AA21" s="1238"/>
      <c r="AB21" s="1238"/>
      <c r="AC21" s="1238"/>
      <c r="AD21" s="1238"/>
      <c r="AE21" s="1238"/>
      <c r="AF21" s="2448"/>
      <c r="AG21" s="1237"/>
      <c r="AS21" s="1158">
        <v>34</v>
      </c>
    </row>
    <row customHeight="1" ht="35.699999999999996">
      <c r="F22" s="1233" t="s">
        <v>1089</v>
      </c>
      <c r="G22" s="1240" t="s">
        <v>1090</v>
      </c>
      <c r="H22" s="1239">
        <f>SUM(I22:J22)</f>
        <v>0</v>
      </c>
      <c r="I22" s="1238"/>
      <c r="J22" s="1228"/>
      <c r="K22" s="1239">
        <f>SUM(L22:P22)</f>
        <v>0</v>
      </c>
      <c r="L22" s="1238"/>
      <c r="M22" s="1238"/>
      <c r="N22" s="1238"/>
      <c r="O22" s="1238"/>
      <c r="P22" s="2448"/>
      <c r="Q22" s="1239">
        <f>SUM(R22:AF22)</f>
        <v>0</v>
      </c>
      <c r="R22" s="1238"/>
      <c r="S22" s="1238"/>
      <c r="T22" s="1238"/>
      <c r="U22" s="1238"/>
      <c r="V22" s="1238"/>
      <c r="W22" s="1238"/>
      <c r="X22" s="1238"/>
      <c r="Y22" s="1238"/>
      <c r="Z22" s="1238"/>
      <c r="AA22" s="1238"/>
      <c r="AB22" s="1238"/>
      <c r="AC22" s="1238"/>
      <c r="AD22" s="1238"/>
      <c r="AE22" s="1238"/>
      <c r="AF22" s="2448"/>
      <c r="AG22" s="1237"/>
      <c r="AS22" s="1158">
        <v>34</v>
      </c>
    </row>
    <row customHeight="1" ht="24">
      <c r="F23" s="1233" t="s">
        <v>1091</v>
      </c>
      <c r="G23" s="1240" t="s">
        <v>1092</v>
      </c>
      <c r="H23" s="1239">
        <f>SUM(I23:J23)</f>
        <v>0</v>
      </c>
      <c r="I23" s="1238"/>
      <c r="J23" s="1228"/>
      <c r="K23" s="1239">
        <f>SUM(L23:P23)</f>
        <v>0</v>
      </c>
      <c r="L23" s="1238"/>
      <c r="M23" s="1238"/>
      <c r="N23" s="1238"/>
      <c r="O23" s="1238"/>
      <c r="P23" s="2448"/>
      <c r="Q23" s="1239">
        <f>SUM(R23:AF23)</f>
        <v>0</v>
      </c>
      <c r="R23" s="1238"/>
      <c r="S23" s="1238"/>
      <c r="T23" s="1238"/>
      <c r="U23" s="1238"/>
      <c r="V23" s="1238"/>
      <c r="W23" s="1238"/>
      <c r="X23" s="1238"/>
      <c r="Y23" s="1238"/>
      <c r="Z23" s="1238"/>
      <c r="AA23" s="1238"/>
      <c r="AB23" s="1238"/>
      <c r="AC23" s="1238"/>
      <c r="AD23" s="1238"/>
      <c r="AE23" s="1238"/>
      <c r="AF23" s="2448"/>
      <c r="AG23" s="1237"/>
      <c r="AS23" s="1158">
        <v>23</v>
      </c>
    </row>
    <row customHeight="1" ht="24">
      <c r="F24" s="1233" t="s">
        <v>1093</v>
      </c>
      <c r="G24" s="1240" t="s">
        <v>1094</v>
      </c>
      <c r="H24" s="1239">
        <f>SUM(I24:J24)</f>
        <v>0</v>
      </c>
      <c r="I24" s="1238"/>
      <c r="J24" s="1228"/>
      <c r="K24" s="1239">
        <f>SUM(L24:P24)</f>
        <v>0</v>
      </c>
      <c r="L24" s="1238"/>
      <c r="M24" s="1238"/>
      <c r="N24" s="1238"/>
      <c r="O24" s="1238"/>
      <c r="P24" s="2448"/>
      <c r="Q24" s="1239">
        <f>SUM(R24:AF24)</f>
        <v>0</v>
      </c>
      <c r="R24" s="1238"/>
      <c r="S24" s="1238"/>
      <c r="T24" s="1238"/>
      <c r="U24" s="1238"/>
      <c r="V24" s="1238"/>
      <c r="W24" s="1238"/>
      <c r="X24" s="1238"/>
      <c r="Y24" s="1238"/>
      <c r="Z24" s="1238"/>
      <c r="AA24" s="1238"/>
      <c r="AB24" s="1238"/>
      <c r="AC24" s="1238"/>
      <c r="AD24" s="1238"/>
      <c r="AE24" s="1238"/>
      <c r="AF24" s="2448"/>
      <c r="AG24" s="1237"/>
      <c r="AS24" s="1158">
        <v>23</v>
      </c>
    </row>
    <row customHeight="1" ht="35.699999999999996">
      <c r="F25" s="1233" t="s">
        <v>1095</v>
      </c>
      <c r="G25" s="1240" t="s">
        <v>1096</v>
      </c>
      <c r="H25" s="1239">
        <f>SUM(I25:J25)</f>
        <v>0</v>
      </c>
      <c r="I25" s="1238"/>
      <c r="J25" s="1228"/>
      <c r="K25" s="1239">
        <f>SUM(L25:P25)</f>
        <v>0</v>
      </c>
      <c r="L25" s="1238"/>
      <c r="M25" s="1238"/>
      <c r="N25" s="1238"/>
      <c r="O25" s="1238"/>
      <c r="P25" s="2448"/>
      <c r="Q25" s="1239">
        <f>SUM(R25:AF25)</f>
        <v>0</v>
      </c>
      <c r="R25" s="1238"/>
      <c r="S25" s="1238"/>
      <c r="T25" s="1238"/>
      <c r="U25" s="1238"/>
      <c r="V25" s="1238"/>
      <c r="W25" s="1238"/>
      <c r="X25" s="1238"/>
      <c r="Y25" s="1238"/>
      <c r="Z25" s="1238"/>
      <c r="AA25" s="1238"/>
      <c r="AB25" s="1238"/>
      <c r="AC25" s="1238"/>
      <c r="AD25" s="1238"/>
      <c r="AE25" s="1238"/>
      <c r="AF25" s="2448"/>
      <c r="AG25" s="1237"/>
      <c r="AS25" s="1158">
        <v>34</v>
      </c>
    </row>
    <row customHeight="1" ht="35.699999999999996">
      <c r="F26" s="1233" t="s">
        <v>1097</v>
      </c>
      <c r="G26" s="1240" t="s">
        <v>1098</v>
      </c>
      <c r="H26" s="1239">
        <f>SUM(I26:J26)</f>
        <v>0</v>
      </c>
      <c r="I26" s="1238"/>
      <c r="J26" s="1228"/>
      <c r="K26" s="1239">
        <f>SUM(L26:P26)</f>
        <v>0</v>
      </c>
      <c r="L26" s="1238"/>
      <c r="M26" s="1238"/>
      <c r="N26" s="1238"/>
      <c r="O26" s="1238"/>
      <c r="P26" s="2448"/>
      <c r="Q26" s="1239">
        <f>SUM(R26:AF26)</f>
        <v>0</v>
      </c>
      <c r="R26" s="1238"/>
      <c r="S26" s="1238"/>
      <c r="T26" s="1238"/>
      <c r="U26" s="1238"/>
      <c r="V26" s="1238"/>
      <c r="W26" s="1238"/>
      <c r="X26" s="1238"/>
      <c r="Y26" s="1238"/>
      <c r="Z26" s="1238"/>
      <c r="AA26" s="1238"/>
      <c r="AB26" s="1238"/>
      <c r="AC26" s="1238"/>
      <c r="AD26" s="1238"/>
      <c r="AE26" s="1238"/>
      <c r="AF26" s="2448"/>
      <c r="AG26" s="1237"/>
      <c r="AS26" s="1158">
        <v>34</v>
      </c>
    </row>
    <row customHeight="1" ht="11.549999999999999">
      <c r="F27" s="1233" t="s">
        <v>1099</v>
      </c>
      <c r="G27" s="1240" t="s">
        <v>1100</v>
      </c>
      <c r="H27" s="1239">
        <f>SUM(I27:J27)</f>
        <v>0</v>
      </c>
      <c r="I27" s="1238"/>
      <c r="J27" s="1228"/>
      <c r="K27" s="1239">
        <f>SUM(L27:P27)</f>
        <v>0</v>
      </c>
      <c r="L27" s="1238"/>
      <c r="M27" s="1238"/>
      <c r="N27" s="1238"/>
      <c r="O27" s="1238"/>
      <c r="P27" s="2448"/>
      <c r="Q27" s="1239">
        <f>SUM(R27:AF27)</f>
        <v>0</v>
      </c>
      <c r="R27" s="1238"/>
      <c r="S27" s="1238"/>
      <c r="T27" s="1238"/>
      <c r="U27" s="1238"/>
      <c r="V27" s="1238"/>
      <c r="W27" s="1238"/>
      <c r="X27" s="1238"/>
      <c r="Y27" s="1238"/>
      <c r="Z27" s="1238"/>
      <c r="AA27" s="1238"/>
      <c r="AB27" s="1238"/>
      <c r="AC27" s="1238"/>
      <c r="AD27" s="1238"/>
      <c r="AE27" s="1238"/>
      <c r="AF27" s="2448"/>
      <c r="AG27" s="1237"/>
      <c r="AS27" s="1158">
        <v>11</v>
      </c>
    </row>
    <row customHeight="1" ht="11.549999999999999">
      <c r="F28" s="1233">
        <v>2</v>
      </c>
      <c r="G28" s="693" t="s">
        <v>1101</v>
      </c>
      <c r="H28" s="1239">
        <f>SUM(I28:J28)</f>
        <v>0</v>
      </c>
      <c r="I28" s="1239">
        <f>SUM(I29:I31)</f>
        <v>0</v>
      </c>
      <c r="J28" s="1228"/>
      <c r="K28" s="1239">
        <f>SUM(L28:P28)</f>
        <v>0</v>
      </c>
      <c r="L28" s="1239">
        <f>SUM(L29:L31)</f>
        <v>0</v>
      </c>
      <c r="M28" s="1239">
        <f>SUM(M29:M31)</f>
        <v>0</v>
      </c>
      <c r="N28" s="1239">
        <f>SUM(N29:N31)</f>
        <v>0</v>
      </c>
      <c r="O28" s="1239">
        <f>SUM(O29:O31)</f>
        <v>0</v>
      </c>
      <c r="P28" s="2448"/>
      <c r="Q28" s="1239">
        <f>SUM(R28:AF28)</f>
        <v>0</v>
      </c>
      <c r="R28" s="1239">
        <f>SUM(R29:R31)</f>
        <v>0</v>
      </c>
      <c r="S28" s="1239">
        <f>SUM(S29:S31)</f>
        <v>0</v>
      </c>
      <c r="T28" s="1239">
        <f>SUM(T29:T31)</f>
        <v>0</v>
      </c>
      <c r="U28" s="1239">
        <f>SUM(U29:U31)</f>
        <v>0</v>
      </c>
      <c r="V28" s="1239">
        <f>SUM(V29:V31)</f>
        <v>0</v>
      </c>
      <c r="W28" s="1239">
        <f>SUM(W29:W31)</f>
        <v>0</v>
      </c>
      <c r="X28" s="1239">
        <f>SUM(X29:X31)</f>
        <v>0</v>
      </c>
      <c r="Y28" s="1239">
        <f>SUM(Y29:Y31)</f>
        <v>0</v>
      </c>
      <c r="Z28" s="1239">
        <f>SUM(Z29:Z31)</f>
        <v>0</v>
      </c>
      <c r="AA28" s="1239">
        <f>SUM(AA29:AA31)</f>
        <v>0</v>
      </c>
      <c r="AB28" s="1239">
        <f>SUM(AB29:AB31)</f>
        <v>0</v>
      </c>
      <c r="AC28" s="1239">
        <f>SUM(AC29:AC31)</f>
        <v>0</v>
      </c>
      <c r="AD28" s="1239">
        <f>SUM(AD29:AD31)</f>
        <v>0</v>
      </c>
      <c r="AE28" s="1239">
        <f>SUM(AE29:AE31)</f>
        <v>0</v>
      </c>
      <c r="AF28" s="2448"/>
      <c r="AG28" s="1237"/>
      <c r="AS28" s="1158">
        <v>11</v>
      </c>
    </row>
    <row customHeight="1" ht="11.549999999999999">
      <c r="F29" s="1233" t="s">
        <v>712</v>
      </c>
      <c r="G29" s="1240" t="s">
        <v>1102</v>
      </c>
      <c r="H29" s="1239">
        <f>SUM(I29:J29)</f>
        <v>0</v>
      </c>
      <c r="I29" s="1238"/>
      <c r="J29" s="1228"/>
      <c r="K29" s="1239">
        <f>SUM(L29:P29)</f>
        <v>0</v>
      </c>
      <c r="L29" s="1238"/>
      <c r="M29" s="1238"/>
      <c r="N29" s="1238"/>
      <c r="O29" s="1238"/>
      <c r="P29" s="2448"/>
      <c r="Q29" s="1239">
        <f>SUM(R29:AF29)</f>
        <v>0</v>
      </c>
      <c r="R29" s="1238"/>
      <c r="S29" s="1238"/>
      <c r="T29" s="1238"/>
      <c r="U29" s="1238"/>
      <c r="V29" s="1238"/>
      <c r="W29" s="1238"/>
      <c r="X29" s="1238"/>
      <c r="Y29" s="1238"/>
      <c r="Z29" s="1238"/>
      <c r="AA29" s="1238"/>
      <c r="AB29" s="1238"/>
      <c r="AC29" s="1238"/>
      <c r="AD29" s="1238"/>
      <c r="AE29" s="1238"/>
      <c r="AF29" s="2448"/>
      <c r="AG29" s="1237"/>
      <c r="AS29" s="1158">
        <v>11</v>
      </c>
    </row>
    <row customHeight="1" ht="11.549999999999999">
      <c r="F30" s="1233" t="s">
        <v>308</v>
      </c>
      <c r="G30" s="1240" t="s">
        <v>1103</v>
      </c>
      <c r="H30" s="1239">
        <f>SUM(I30:J30)</f>
        <v>0</v>
      </c>
      <c r="I30" s="1238"/>
      <c r="J30" s="1228"/>
      <c r="K30" s="1239">
        <f>SUM(L30:P30)</f>
        <v>0</v>
      </c>
      <c r="L30" s="1238"/>
      <c r="M30" s="1238"/>
      <c r="N30" s="1238"/>
      <c r="O30" s="1238"/>
      <c r="P30" s="2448"/>
      <c r="Q30" s="1239">
        <f>SUM(R30:AF30)</f>
        <v>0</v>
      </c>
      <c r="R30" s="1238"/>
      <c r="S30" s="1238"/>
      <c r="T30" s="1238"/>
      <c r="U30" s="1238"/>
      <c r="V30" s="1238"/>
      <c r="W30" s="1238"/>
      <c r="X30" s="1238"/>
      <c r="Y30" s="1238"/>
      <c r="Z30" s="1238"/>
      <c r="AA30" s="1238"/>
      <c r="AB30" s="1238"/>
      <c r="AC30" s="1238"/>
      <c r="AD30" s="1238"/>
      <c r="AE30" s="1238"/>
      <c r="AF30" s="2448"/>
      <c r="AG30" s="1237"/>
      <c r="AS30" s="1158">
        <v>11</v>
      </c>
    </row>
    <row customHeight="1" ht="11.549999999999999">
      <c r="F31" s="1233" t="s">
        <v>311</v>
      </c>
      <c r="G31" s="1240" t="s">
        <v>1104</v>
      </c>
      <c r="H31" s="1239">
        <f>SUM(I31:J31)</f>
        <v>0</v>
      </c>
      <c r="I31" s="1238"/>
      <c r="J31" s="1228"/>
      <c r="K31" s="1239">
        <f>SUM(L31:P31)</f>
        <v>0</v>
      </c>
      <c r="L31" s="1238"/>
      <c r="M31" s="1238"/>
      <c r="N31" s="1238"/>
      <c r="O31" s="1238"/>
      <c r="P31" s="2448"/>
      <c r="Q31" s="1239">
        <f>SUM(R31:AF31)</f>
        <v>0</v>
      </c>
      <c r="R31" s="1238"/>
      <c r="S31" s="1238"/>
      <c r="T31" s="1238"/>
      <c r="U31" s="1238"/>
      <c r="V31" s="1238"/>
      <c r="W31" s="1238"/>
      <c r="X31" s="1238"/>
      <c r="Y31" s="1238"/>
      <c r="Z31" s="1238"/>
      <c r="AA31" s="1238"/>
      <c r="AB31" s="1238"/>
      <c r="AC31" s="1238"/>
      <c r="AD31" s="1238"/>
      <c r="AE31" s="1238"/>
      <c r="AF31" s="2448"/>
      <c r="AG31" s="1237"/>
      <c r="AS31" s="1158">
        <v>11</v>
      </c>
    </row>
    <row customHeight="1" ht="11.549999999999999">
      <c r="F32" s="1233">
        <v>3</v>
      </c>
      <c r="G32" s="693" t="s">
        <v>1105</v>
      </c>
      <c r="H32" s="1239">
        <f>SUM(I32:J32)</f>
        <v>0</v>
      </c>
      <c r="I32" s="1239">
        <f>SUM(I33:I34)</f>
        <v>0</v>
      </c>
      <c r="J32" s="1228"/>
      <c r="K32" s="1239">
        <f>SUM(L32:P32)</f>
        <v>0</v>
      </c>
      <c r="L32" s="1239">
        <f>SUM(L33:L34)</f>
        <v>0</v>
      </c>
      <c r="M32" s="1239">
        <f>SUM(M33:M34)</f>
        <v>0</v>
      </c>
      <c r="N32" s="1239">
        <f>SUM(N33:N34)</f>
        <v>0</v>
      </c>
      <c r="O32" s="1239">
        <f>SUM(O33:O34)</f>
        <v>0</v>
      </c>
      <c r="P32" s="2448"/>
      <c r="Q32" s="1239">
        <f>SUM(R32:AF32)</f>
        <v>0</v>
      </c>
      <c r="R32" s="1239">
        <f>SUM(R33:R34)</f>
        <v>0</v>
      </c>
      <c r="S32" s="1239">
        <f>SUM(S33:S34)</f>
        <v>0</v>
      </c>
      <c r="T32" s="1239">
        <f>SUM(T33:T34)</f>
        <v>0</v>
      </c>
      <c r="U32" s="1239">
        <f>SUM(U33:U34)</f>
        <v>0</v>
      </c>
      <c r="V32" s="1239">
        <f>SUM(V33:V34)</f>
        <v>0</v>
      </c>
      <c r="W32" s="1239">
        <f>SUM(W33:W34)</f>
        <v>0</v>
      </c>
      <c r="X32" s="1239">
        <f>SUM(X33:X34)</f>
        <v>0</v>
      </c>
      <c r="Y32" s="1239">
        <f>SUM(Y33:Y34)</f>
        <v>0</v>
      </c>
      <c r="Z32" s="1239">
        <f>SUM(Z33:Z34)</f>
        <v>0</v>
      </c>
      <c r="AA32" s="1239">
        <f>SUM(AA33:AA34)</f>
        <v>0</v>
      </c>
      <c r="AB32" s="1239">
        <f>SUM(AB33:AB34)</f>
        <v>0</v>
      </c>
      <c r="AC32" s="1239">
        <f>SUM(AC33:AC34)</f>
        <v>0</v>
      </c>
      <c r="AD32" s="1239">
        <f>SUM(AD33:AD34)</f>
        <v>0</v>
      </c>
      <c r="AE32" s="1239">
        <f>SUM(AE33:AE34)</f>
        <v>0</v>
      </c>
      <c r="AF32" s="2448"/>
      <c r="AG32" s="1237"/>
      <c r="AS32" s="1158">
        <v>11</v>
      </c>
    </row>
    <row customHeight="1" ht="48.29999999999999">
      <c r="F33" s="1233" t="s">
        <v>325</v>
      </c>
      <c r="G33" s="1240" t="s">
        <v>1106</v>
      </c>
      <c r="H33" s="1239">
        <f>SUM(I33:J33)</f>
        <v>0</v>
      </c>
      <c r="I33" s="1238"/>
      <c r="J33" s="1228"/>
      <c r="K33" s="1239">
        <f>SUM(L33:P33)</f>
        <v>0</v>
      </c>
      <c r="L33" s="1238"/>
      <c r="M33" s="1238"/>
      <c r="N33" s="1238"/>
      <c r="O33" s="1238"/>
      <c r="P33" s="2448"/>
      <c r="Q33" s="1239">
        <f>SUM(R33:AF33)</f>
        <v>0</v>
      </c>
      <c r="R33" s="1238"/>
      <c r="S33" s="1238"/>
      <c r="T33" s="1238"/>
      <c r="U33" s="1238"/>
      <c r="V33" s="1238"/>
      <c r="W33" s="1238"/>
      <c r="X33" s="1238"/>
      <c r="Y33" s="1238"/>
      <c r="Z33" s="1238"/>
      <c r="AA33" s="1238"/>
      <c r="AB33" s="1238"/>
      <c r="AC33" s="1238"/>
      <c r="AD33" s="1238"/>
      <c r="AE33" s="1238"/>
      <c r="AF33" s="2448"/>
      <c r="AG33" s="1237"/>
      <c r="AS33" s="1158">
        <v>46</v>
      </c>
    </row>
    <row customHeight="1" ht="11.549999999999999">
      <c r="F34" s="1233" t="s">
        <v>333</v>
      </c>
      <c r="G34" s="1240" t="s">
        <v>1107</v>
      </c>
      <c r="H34" s="1239">
        <f>SUM(I34:J34)</f>
        <v>0</v>
      </c>
      <c r="I34" s="1238"/>
      <c r="J34" s="1228"/>
      <c r="K34" s="1239">
        <f>SUM(L34:P34)</f>
        <v>0</v>
      </c>
      <c r="L34" s="1238"/>
      <c r="M34" s="1238"/>
      <c r="N34" s="1238"/>
      <c r="O34" s="1238"/>
      <c r="P34" s="2448"/>
      <c r="Q34" s="1239">
        <f>SUM(R34:AF34)</f>
        <v>0</v>
      </c>
      <c r="R34" s="1238"/>
      <c r="S34" s="1238"/>
      <c r="T34" s="1238"/>
      <c r="U34" s="1238"/>
      <c r="V34" s="1238"/>
      <c r="W34" s="1238"/>
      <c r="X34" s="1238"/>
      <c r="Y34" s="1238"/>
      <c r="Z34" s="1238"/>
      <c r="AA34" s="1238"/>
      <c r="AB34" s="1238"/>
      <c r="AC34" s="1238"/>
      <c r="AD34" s="1238"/>
      <c r="AE34" s="1238"/>
      <c r="AF34" s="2448"/>
      <c r="AG34" s="1237"/>
      <c r="AS34" s="1158">
        <v>11</v>
      </c>
    </row>
    <row customHeight="1" ht="11.549999999999999">
      <c r="F35" s="1233">
        <v>4</v>
      </c>
      <c r="G35" s="693" t="s">
        <v>1108</v>
      </c>
      <c r="H35" s="1239">
        <f>SUM(I35:J35)</f>
        <v>0</v>
      </c>
      <c r="I35" s="1238"/>
      <c r="J35" s="1228"/>
      <c r="K35" s="1239">
        <f>SUM(L35:P35)</f>
        <v>0</v>
      </c>
      <c r="L35" s="1238"/>
      <c r="M35" s="1238"/>
      <c r="N35" s="1238"/>
      <c r="O35" s="1238"/>
      <c r="P35" s="2448"/>
      <c r="Q35" s="1239">
        <f>SUM(R35:AF35)</f>
        <v>0</v>
      </c>
      <c r="R35" s="1238"/>
      <c r="S35" s="1238"/>
      <c r="T35" s="1238"/>
      <c r="U35" s="1238"/>
      <c r="V35" s="1238"/>
      <c r="W35" s="1238"/>
      <c r="X35" s="1238"/>
      <c r="Y35" s="1238"/>
      <c r="Z35" s="1238"/>
      <c r="AA35" s="1238"/>
      <c r="AB35" s="1238"/>
      <c r="AC35" s="1238"/>
      <c r="AD35" s="1238"/>
      <c r="AE35" s="1238"/>
      <c r="AF35" s="2448"/>
      <c r="AG35" s="1237"/>
      <c r="AS35" s="1158">
        <v>11</v>
      </c>
    </row>
    <row customHeight="1" ht="11.549999999999999">
      <c r="F36" s="1233"/>
      <c r="G36" s="696" t="s">
        <v>1109</v>
      </c>
      <c r="H36" s="1239">
        <f>SUM(I36:J36)</f>
        <v>0</v>
      </c>
      <c r="I36" s="1239">
        <f>SUM(I15,I28,I32,I35)</f>
        <v>0</v>
      </c>
      <c r="J36" s="1228"/>
      <c r="K36" s="1239">
        <f>SUM(L36:P36)</f>
        <v>0</v>
      </c>
      <c r="L36" s="1239">
        <f>SUM(L15,L28,L32,L35)</f>
        <v>0</v>
      </c>
      <c r="M36" s="1239">
        <f>SUM(M15,M28,M32,M35)</f>
        <v>0</v>
      </c>
      <c r="N36" s="1239">
        <f>SUM(N15,N28,N32,N35)</f>
        <v>0</v>
      </c>
      <c r="O36" s="1239">
        <f>SUM(O15,O28,O32,O35)</f>
        <v>0</v>
      </c>
      <c r="P36" s="2448"/>
      <c r="Q36" s="1239">
        <f>SUM(R36:AF36)</f>
        <v>0</v>
      </c>
      <c r="R36" s="1239">
        <f>SUM(R15,R28,R32,R35)</f>
        <v>0</v>
      </c>
      <c r="S36" s="1239">
        <f>SUM(S15,S28,S32,S35)</f>
        <v>0</v>
      </c>
      <c r="T36" s="1239">
        <f>SUM(T15,T28,T32,T35)</f>
        <v>0</v>
      </c>
      <c r="U36" s="1239">
        <f>SUM(U15,U28,U32,U35)</f>
        <v>0</v>
      </c>
      <c r="V36" s="1239">
        <f>SUM(V15,V28,V32,V35)</f>
        <v>0</v>
      </c>
      <c r="W36" s="1239">
        <f>SUM(W15,W28,W32,W35)</f>
        <v>0</v>
      </c>
      <c r="X36" s="1239">
        <f>SUM(X15,X28,X32,X35)</f>
        <v>0</v>
      </c>
      <c r="Y36" s="1239">
        <f>SUM(Y15,Y28,Y32,Y35)</f>
        <v>0</v>
      </c>
      <c r="Z36" s="1239">
        <f>SUM(Z15,Z28,Z32,Z35)</f>
        <v>0</v>
      </c>
      <c r="AA36" s="1239">
        <f>SUM(AA15,AA28,AA32,AA35)</f>
        <v>0</v>
      </c>
      <c r="AB36" s="1239">
        <f>SUM(AB15,AB28,AB32,AB35)</f>
        <v>0</v>
      </c>
      <c r="AC36" s="1239">
        <f>SUM(AC15,AC28,AC32,AC35)</f>
        <v>0</v>
      </c>
      <c r="AD36" s="1239">
        <f>SUM(AD15,AD28,AD32,AD35)</f>
        <v>0</v>
      </c>
      <c r="AE36" s="1239">
        <f>SUM(AE15,AE28,AE32,AE35)</f>
        <v>0</v>
      </c>
      <c r="AF36" s="2448"/>
      <c r="AG36" s="1237"/>
      <c r="AS36" s="1158">
        <v>11</v>
      </c>
    </row>
    <row customHeight="1" ht="29.25">
      <c r="F37" s="1234" t="s">
        <v>1110</v>
      </c>
      <c r="G37" s="2444" t="s">
        <v>1111</v>
      </c>
      <c r="H37" s="2444"/>
      <c r="I37" s="2444"/>
      <c r="J37" s="2444"/>
      <c r="K37" s="2444"/>
      <c r="L37" s="2444"/>
      <c r="M37" s="2444"/>
      <c r="N37" s="2444"/>
      <c r="O37" s="2444"/>
      <c r="P37" s="2444"/>
      <c r="Q37" s="2444"/>
      <c r="R37" s="2444"/>
      <c r="S37" s="2444"/>
      <c r="T37" s="2444"/>
      <c r="U37" s="2444"/>
      <c r="V37" s="2444"/>
      <c r="W37" s="2444"/>
      <c r="X37" s="2444"/>
      <c r="Y37" s="2444"/>
      <c r="Z37" s="2444"/>
      <c r="AA37" s="2444"/>
      <c r="AB37" s="2444"/>
      <c r="AC37" s="2444"/>
      <c r="AD37" s="2444"/>
      <c r="AE37" s="2444"/>
      <c r="AF37" s="2444"/>
      <c r="AG37" s="1237"/>
      <c r="AS37" s="1158">
        <v>28</v>
      </c>
    </row>
    <row customHeight="1" ht="24">
      <c r="F38" s="1233" t="s">
        <v>99</v>
      </c>
      <c r="G38" s="693" t="s">
        <v>1112</v>
      </c>
      <c r="H38" s="1239">
        <f>SUM(I38:J38)</f>
        <v>0</v>
      </c>
      <c r="I38" s="1239">
        <f>SUM(I39,I44,I47)</f>
        <v>0</v>
      </c>
      <c r="J38" s="1228"/>
      <c r="K38" s="1239">
        <f>SUM(L38:P38)</f>
        <v>0</v>
      </c>
      <c r="L38" s="1239">
        <f>SUM(L39,L44,L47)</f>
        <v>0</v>
      </c>
      <c r="M38" s="1239">
        <f>SUM(M39,M44,M47)</f>
        <v>0</v>
      </c>
      <c r="N38" s="1239">
        <f>SUM(N39,N44,N47)</f>
        <v>0</v>
      </c>
      <c r="O38" s="1239">
        <f>SUM(O39,O44,O47)</f>
        <v>0</v>
      </c>
      <c r="P38" s="2448"/>
      <c r="Q38" s="1239">
        <f>SUM(R38:AF38)</f>
        <v>0</v>
      </c>
      <c r="R38" s="1239">
        <f>SUM(R39,R44,R47)</f>
        <v>0</v>
      </c>
      <c r="S38" s="1239">
        <f>SUM(S39,S44,S47)</f>
        <v>0</v>
      </c>
      <c r="T38" s="1239">
        <f>SUM(T39,T44,T47)</f>
        <v>0</v>
      </c>
      <c r="U38" s="1239">
        <f>SUM(U39,U44,U47)</f>
        <v>0</v>
      </c>
      <c r="V38" s="1239">
        <f>SUM(V39,V44,V47)</f>
        <v>0</v>
      </c>
      <c r="W38" s="1239">
        <f>SUM(W39,W44,W47)</f>
        <v>0</v>
      </c>
      <c r="X38" s="1239">
        <f>SUM(X39,X44,X47)</f>
        <v>0</v>
      </c>
      <c r="Y38" s="1239">
        <f>SUM(Y39,Y44,Y47)</f>
        <v>0</v>
      </c>
      <c r="Z38" s="1239">
        <f>SUM(Z39,Z44,Z47)</f>
        <v>0</v>
      </c>
      <c r="AA38" s="1239">
        <f>SUM(AA39,AA44,AA47)</f>
        <v>0</v>
      </c>
      <c r="AB38" s="1239">
        <f>SUM(AB39,AB44,AB47)</f>
        <v>0</v>
      </c>
      <c r="AC38" s="1239">
        <f>SUM(AC39,AC44,AC47)</f>
        <v>0</v>
      </c>
      <c r="AD38" s="1239">
        <f>SUM(AD39,AD44,AD47)</f>
        <v>0</v>
      </c>
      <c r="AE38" s="1239">
        <f>SUM(AE39,AE44,AE47)</f>
        <v>0</v>
      </c>
      <c r="AF38" s="2448"/>
      <c r="AG38" s="1237"/>
      <c r="AS38" s="1158">
        <v>23</v>
      </c>
    </row>
    <row customHeight="1" ht="11.549999999999999">
      <c r="F39" s="1233" t="s">
        <v>1077</v>
      </c>
      <c r="G39" s="1240" t="s">
        <v>1076</v>
      </c>
      <c r="H39" s="1239">
        <f>SUM(I39:J39)</f>
        <v>0</v>
      </c>
      <c r="I39" s="1239">
        <f>SUM(I40:I43)</f>
        <v>0</v>
      </c>
      <c r="J39" s="1228"/>
      <c r="K39" s="1239">
        <f>SUM(L39:P39)</f>
        <v>0</v>
      </c>
      <c r="L39" s="1239">
        <f>SUM(L40:L43)</f>
        <v>0</v>
      </c>
      <c r="M39" s="1239">
        <f>SUM(M40:M43)</f>
        <v>0</v>
      </c>
      <c r="N39" s="1239">
        <f>SUM(N40:N43)</f>
        <v>0</v>
      </c>
      <c r="O39" s="1239">
        <f>SUM(O40:O43)</f>
        <v>0</v>
      </c>
      <c r="P39" s="2448"/>
      <c r="Q39" s="1239">
        <f>SUM(R39:AF39)</f>
        <v>0</v>
      </c>
      <c r="R39" s="1239">
        <f>SUM(R40:R43)</f>
        <v>0</v>
      </c>
      <c r="S39" s="1239">
        <f>SUM(S40:S43)</f>
        <v>0</v>
      </c>
      <c r="T39" s="1239">
        <f>SUM(T40:T43)</f>
        <v>0</v>
      </c>
      <c r="U39" s="1239">
        <f>SUM(U40:U43)</f>
        <v>0</v>
      </c>
      <c r="V39" s="1239">
        <f>SUM(V40:V43)</f>
        <v>0</v>
      </c>
      <c r="W39" s="1239">
        <f>SUM(W40:W43)</f>
        <v>0</v>
      </c>
      <c r="X39" s="1239">
        <f>SUM(X40:X43)</f>
        <v>0</v>
      </c>
      <c r="Y39" s="1239">
        <f>SUM(Y40:Y43)</f>
        <v>0</v>
      </c>
      <c r="Z39" s="1239">
        <f>SUM(Z40:Z43)</f>
        <v>0</v>
      </c>
      <c r="AA39" s="1239">
        <f>SUM(AA40:AA43)</f>
        <v>0</v>
      </c>
      <c r="AB39" s="1239">
        <f>SUM(AB40:AB43)</f>
        <v>0</v>
      </c>
      <c r="AC39" s="1239">
        <f>SUM(AC40:AC43)</f>
        <v>0</v>
      </c>
      <c r="AD39" s="1239">
        <f>SUM(AD40:AD43)</f>
        <v>0</v>
      </c>
      <c r="AE39" s="1239">
        <f>SUM(AE40:AE43)</f>
        <v>0</v>
      </c>
      <c r="AF39" s="2448"/>
      <c r="AG39" s="1237"/>
      <c r="AS39" s="1158">
        <v>11</v>
      </c>
    </row>
    <row customHeight="1" ht="24">
      <c r="F40" s="1233" t="s">
        <v>1113</v>
      </c>
      <c r="G40" s="1241" t="s">
        <v>1114</v>
      </c>
      <c r="H40" s="1239">
        <f>SUM(I40:J40)</f>
        <v>0</v>
      </c>
      <c r="I40" s="1238"/>
      <c r="J40" s="1228"/>
      <c r="K40" s="1239">
        <f>SUM(L40:P40)</f>
        <v>0</v>
      </c>
      <c r="L40" s="1238"/>
      <c r="M40" s="1238"/>
      <c r="N40" s="1238"/>
      <c r="O40" s="1238"/>
      <c r="P40" s="2448"/>
      <c r="Q40" s="1239">
        <f>SUM(R40:AF40)</f>
        <v>0</v>
      </c>
      <c r="R40" s="1238"/>
      <c r="S40" s="1238"/>
      <c r="T40" s="1238"/>
      <c r="U40" s="1238"/>
      <c r="V40" s="1238"/>
      <c r="W40" s="1238"/>
      <c r="X40" s="1238"/>
      <c r="Y40" s="1238"/>
      <c r="Z40" s="1238"/>
      <c r="AA40" s="1238"/>
      <c r="AB40" s="1238"/>
      <c r="AC40" s="1238"/>
      <c r="AD40" s="1238"/>
      <c r="AE40" s="1238"/>
      <c r="AF40" s="2448"/>
      <c r="AG40" s="1237"/>
      <c r="AS40" s="1158">
        <v>23</v>
      </c>
    </row>
    <row customHeight="1" ht="11.549999999999999">
      <c r="F41" s="1233" t="s">
        <v>1115</v>
      </c>
      <c r="G41" s="1241" t="s">
        <v>1116</v>
      </c>
      <c r="H41" s="1239">
        <f>SUM(I41:J41)</f>
        <v>0</v>
      </c>
      <c r="I41" s="1238"/>
      <c r="J41" s="1228"/>
      <c r="K41" s="1239">
        <f>SUM(L41:P41)</f>
        <v>0</v>
      </c>
      <c r="L41" s="1238"/>
      <c r="M41" s="1238"/>
      <c r="N41" s="1238"/>
      <c r="O41" s="1238"/>
      <c r="P41" s="2448"/>
      <c r="Q41" s="1239">
        <f>SUM(R41:AF41)</f>
        <v>0</v>
      </c>
      <c r="R41" s="1238"/>
      <c r="S41" s="1238"/>
      <c r="T41" s="1238"/>
      <c r="U41" s="1238"/>
      <c r="V41" s="1238"/>
      <c r="W41" s="1238"/>
      <c r="X41" s="1238"/>
      <c r="Y41" s="1238"/>
      <c r="Z41" s="1238"/>
      <c r="AA41" s="1238"/>
      <c r="AB41" s="1238"/>
      <c r="AC41" s="1238"/>
      <c r="AD41" s="1238"/>
      <c r="AE41" s="1238"/>
      <c r="AF41" s="2448"/>
      <c r="AG41" s="1237"/>
      <c r="AS41" s="1158">
        <v>11</v>
      </c>
    </row>
    <row customHeight="1" ht="11.549999999999999">
      <c r="F42" s="1233" t="s">
        <v>1117</v>
      </c>
      <c r="G42" s="1241" t="s">
        <v>1118</v>
      </c>
      <c r="H42" s="1239">
        <f>SUM(I42:J42)</f>
        <v>0</v>
      </c>
      <c r="I42" s="1238"/>
      <c r="J42" s="1228"/>
      <c r="K42" s="1239">
        <f>SUM(L42:P42)</f>
        <v>0</v>
      </c>
      <c r="L42" s="1238"/>
      <c r="M42" s="1238"/>
      <c r="N42" s="1238"/>
      <c r="O42" s="1238"/>
      <c r="P42" s="2448"/>
      <c r="Q42" s="1239">
        <f>SUM(R42:AF42)</f>
        <v>0</v>
      </c>
      <c r="R42" s="1238"/>
      <c r="S42" s="1238"/>
      <c r="T42" s="1238"/>
      <c r="U42" s="1238"/>
      <c r="V42" s="1238"/>
      <c r="W42" s="1238"/>
      <c r="X42" s="1238"/>
      <c r="Y42" s="1238"/>
      <c r="Z42" s="1238"/>
      <c r="AA42" s="1238"/>
      <c r="AB42" s="1238"/>
      <c r="AC42" s="1238"/>
      <c r="AD42" s="1238"/>
      <c r="AE42" s="1238"/>
      <c r="AF42" s="2448"/>
      <c r="AG42" s="1237"/>
      <c r="AS42" s="1158">
        <v>11</v>
      </c>
    </row>
    <row customHeight="1" ht="35.699999999999996">
      <c r="F43" s="1233" t="s">
        <v>1119</v>
      </c>
      <c r="G43" s="1241" t="s">
        <v>1120</v>
      </c>
      <c r="H43" s="1239">
        <f>SUM(I43:J43)</f>
        <v>0</v>
      </c>
      <c r="I43" s="1238"/>
      <c r="J43" s="1228"/>
      <c r="K43" s="1239">
        <f>SUM(L43:P43)</f>
        <v>0</v>
      </c>
      <c r="L43" s="1238"/>
      <c r="M43" s="1238"/>
      <c r="N43" s="1238"/>
      <c r="O43" s="1238"/>
      <c r="P43" s="2448"/>
      <c r="Q43" s="1239">
        <f>SUM(R43:AF43)</f>
        <v>0</v>
      </c>
      <c r="R43" s="1238"/>
      <c r="S43" s="1238"/>
      <c r="T43" s="1238"/>
      <c r="U43" s="1238"/>
      <c r="V43" s="1238"/>
      <c r="W43" s="1238"/>
      <c r="X43" s="1238"/>
      <c r="Y43" s="1238"/>
      <c r="Z43" s="1238"/>
      <c r="AA43" s="1238"/>
      <c r="AB43" s="1238"/>
      <c r="AC43" s="1238"/>
      <c r="AD43" s="1238"/>
      <c r="AE43" s="1238"/>
      <c r="AF43" s="2448"/>
      <c r="AG43" s="1237"/>
      <c r="AS43" s="1158">
        <v>34</v>
      </c>
    </row>
    <row customHeight="1" ht="11.549999999999999">
      <c r="F44" s="1233" t="s">
        <v>1079</v>
      </c>
      <c r="G44" s="1240" t="s">
        <v>1105</v>
      </c>
      <c r="H44" s="1239">
        <f>SUM(I44:J44)</f>
        <v>0</v>
      </c>
      <c r="I44" s="1239">
        <f>SUM(I45:I46)</f>
        <v>0</v>
      </c>
      <c r="J44" s="1228"/>
      <c r="K44" s="1239">
        <f>SUM(L44:P44)</f>
        <v>0</v>
      </c>
      <c r="L44" s="1239">
        <f>SUM(L45:L46)</f>
        <v>0</v>
      </c>
      <c r="M44" s="1239">
        <f>SUM(M45:M46)</f>
        <v>0</v>
      </c>
      <c r="N44" s="1239">
        <f>SUM(N45:N46)</f>
        <v>0</v>
      </c>
      <c r="O44" s="1239">
        <f>SUM(O45:O46)</f>
        <v>0</v>
      </c>
      <c r="P44" s="2448"/>
      <c r="Q44" s="1239">
        <f>SUM(R44:AF44)</f>
        <v>0</v>
      </c>
      <c r="R44" s="1239">
        <f>SUM(R45:R46)</f>
        <v>0</v>
      </c>
      <c r="S44" s="1239">
        <f>SUM(S45:S46)</f>
        <v>0</v>
      </c>
      <c r="T44" s="1239">
        <f>SUM(T45:T46)</f>
        <v>0</v>
      </c>
      <c r="U44" s="1239">
        <f>SUM(U45:U46)</f>
        <v>0</v>
      </c>
      <c r="V44" s="1239">
        <f>SUM(V45:V46)</f>
        <v>0</v>
      </c>
      <c r="W44" s="1239">
        <f>SUM(W45:W46)</f>
        <v>0</v>
      </c>
      <c r="X44" s="1239">
        <f>SUM(X45:X46)</f>
        <v>0</v>
      </c>
      <c r="Y44" s="1239">
        <f>SUM(Y45:Y46)</f>
        <v>0</v>
      </c>
      <c r="Z44" s="1239">
        <f>SUM(Z45:Z46)</f>
        <v>0</v>
      </c>
      <c r="AA44" s="1239">
        <f>SUM(AA45:AA46)</f>
        <v>0</v>
      </c>
      <c r="AB44" s="1239">
        <f>SUM(AB45:AB46)</f>
        <v>0</v>
      </c>
      <c r="AC44" s="1239">
        <f>SUM(AC45:AC46)</f>
        <v>0</v>
      </c>
      <c r="AD44" s="1239">
        <f>SUM(AD45:AD46)</f>
        <v>0</v>
      </c>
      <c r="AE44" s="1239">
        <f>SUM(AE45:AE46)</f>
        <v>0</v>
      </c>
      <c r="AF44" s="2448"/>
      <c r="AG44" s="1237"/>
      <c r="AS44" s="1158">
        <v>11</v>
      </c>
    </row>
    <row customHeight="1" ht="48.29999999999999">
      <c r="F45" s="1233" t="s">
        <v>1121</v>
      </c>
      <c r="G45" s="1241" t="s">
        <v>1106</v>
      </c>
      <c r="H45" s="1239">
        <f>SUM(I45:J45)</f>
        <v>0</v>
      </c>
      <c r="I45" s="1238"/>
      <c r="J45" s="1228"/>
      <c r="K45" s="1239">
        <f>SUM(L45:P45)</f>
        <v>0</v>
      </c>
      <c r="L45" s="1238"/>
      <c r="M45" s="1238"/>
      <c r="N45" s="1238"/>
      <c r="O45" s="1238"/>
      <c r="P45" s="2448"/>
      <c r="Q45" s="1239">
        <f>SUM(R45:AF45)</f>
        <v>0</v>
      </c>
      <c r="R45" s="1238"/>
      <c r="S45" s="1238"/>
      <c r="T45" s="1238"/>
      <c r="U45" s="1238"/>
      <c r="V45" s="1238"/>
      <c r="W45" s="1238"/>
      <c r="X45" s="1238"/>
      <c r="Y45" s="1238"/>
      <c r="Z45" s="1238"/>
      <c r="AA45" s="1238"/>
      <c r="AB45" s="1238"/>
      <c r="AC45" s="1238"/>
      <c r="AD45" s="1238"/>
      <c r="AE45" s="1238"/>
      <c r="AF45" s="2448"/>
      <c r="AG45" s="1237"/>
      <c r="AS45" s="1158">
        <v>46</v>
      </c>
    </row>
    <row customHeight="1" ht="11.549999999999999">
      <c r="F46" s="1233" t="s">
        <v>1122</v>
      </c>
      <c r="G46" s="1241" t="s">
        <v>1107</v>
      </c>
      <c r="H46" s="1239">
        <f>SUM(I46:J46)</f>
        <v>0</v>
      </c>
      <c r="I46" s="1238"/>
      <c r="J46" s="1228"/>
      <c r="K46" s="1239">
        <f>SUM(L46:P46)</f>
        <v>0</v>
      </c>
      <c r="L46" s="1238"/>
      <c r="M46" s="1238"/>
      <c r="N46" s="1238"/>
      <c r="O46" s="1238"/>
      <c r="P46" s="2448"/>
      <c r="Q46" s="1239">
        <f>SUM(R46:AF46)</f>
        <v>0</v>
      </c>
      <c r="R46" s="1238"/>
      <c r="S46" s="1238"/>
      <c r="T46" s="1238"/>
      <c r="U46" s="1238"/>
      <c r="V46" s="1238"/>
      <c r="W46" s="1238"/>
      <c r="X46" s="1238"/>
      <c r="Y46" s="1238"/>
      <c r="Z46" s="1238"/>
      <c r="AA46" s="1238"/>
      <c r="AB46" s="1238"/>
      <c r="AC46" s="1238"/>
      <c r="AD46" s="1238"/>
      <c r="AE46" s="1238"/>
      <c r="AF46" s="2448"/>
      <c r="AG46" s="1237"/>
      <c r="AS46" s="1158">
        <v>11</v>
      </c>
    </row>
    <row customHeight="1" ht="11.549999999999999">
      <c r="F47" s="1233" t="s">
        <v>1081</v>
      </c>
      <c r="G47" s="1240" t="s">
        <v>1123</v>
      </c>
      <c r="H47" s="1239">
        <f>SUM(I47:J47)</f>
        <v>0</v>
      </c>
      <c r="I47" s="1238"/>
      <c r="J47" s="1228"/>
      <c r="K47" s="1239">
        <f>SUM(L47:P47)</f>
        <v>0</v>
      </c>
      <c r="L47" s="1238"/>
      <c r="M47" s="1238"/>
      <c r="N47" s="1238"/>
      <c r="O47" s="1238"/>
      <c r="P47" s="2448"/>
      <c r="Q47" s="1239">
        <f>SUM(R47:AF47)</f>
        <v>0</v>
      </c>
      <c r="R47" s="1238"/>
      <c r="S47" s="1238"/>
      <c r="T47" s="1238"/>
      <c r="U47" s="1238"/>
      <c r="V47" s="1238"/>
      <c r="W47" s="1238"/>
      <c r="X47" s="1238"/>
      <c r="Y47" s="1238"/>
      <c r="Z47" s="1238"/>
      <c r="AA47" s="1238"/>
      <c r="AB47" s="1238"/>
      <c r="AC47" s="1238"/>
      <c r="AD47" s="1238"/>
      <c r="AE47" s="1238"/>
      <c r="AF47" s="2448"/>
      <c r="AG47" s="1237"/>
      <c r="AS47" s="1158">
        <v>11</v>
      </c>
    </row>
    <row customHeight="1" ht="24">
      <c r="F48" s="1233" t="s">
        <v>109</v>
      </c>
      <c r="G48" s="693" t="s">
        <v>1124</v>
      </c>
      <c r="H48" s="1239">
        <f>SUM(I48:J48)</f>
        <v>0</v>
      </c>
      <c r="I48" s="1239">
        <f>SUM(I49,I54,I57)</f>
        <v>0</v>
      </c>
      <c r="J48" s="1228"/>
      <c r="K48" s="1239">
        <f>SUM(L48:P48)</f>
        <v>0</v>
      </c>
      <c r="L48" s="1239">
        <f>SUM(L49,L54,L57)</f>
        <v>0</v>
      </c>
      <c r="M48" s="1239">
        <f>SUM(M49,M54,M57)</f>
        <v>0</v>
      </c>
      <c r="N48" s="1239">
        <f>SUM(N49,N54,N57)</f>
        <v>0</v>
      </c>
      <c r="O48" s="1239">
        <f>SUM(O49,O54,O57)</f>
        <v>0</v>
      </c>
      <c r="P48" s="2448"/>
      <c r="Q48" s="1239">
        <f>SUM(R48:AF48)</f>
        <v>0</v>
      </c>
      <c r="R48" s="1239">
        <f>SUM(R49,R54,R57)</f>
        <v>0</v>
      </c>
      <c r="S48" s="1239">
        <f>SUM(S49,S54,S57)</f>
        <v>0</v>
      </c>
      <c r="T48" s="1239">
        <f>SUM(T49,T54,T57)</f>
        <v>0</v>
      </c>
      <c r="U48" s="1239">
        <f>SUM(U49,U54,U57)</f>
        <v>0</v>
      </c>
      <c r="V48" s="1239">
        <f>SUM(V49,V54,V57)</f>
        <v>0</v>
      </c>
      <c r="W48" s="1239">
        <f>SUM(W49,W54,W57)</f>
        <v>0</v>
      </c>
      <c r="X48" s="1239">
        <f>SUM(X49,X54,X57)</f>
        <v>0</v>
      </c>
      <c r="Y48" s="1239">
        <f>SUM(Y49,Y54,Y57)</f>
        <v>0</v>
      </c>
      <c r="Z48" s="1239">
        <f>SUM(Z49,Z54,Z57)</f>
        <v>0</v>
      </c>
      <c r="AA48" s="1239">
        <f>SUM(AA49,AA54,AA57)</f>
        <v>0</v>
      </c>
      <c r="AB48" s="1239">
        <f>SUM(AB49,AB54,AB57)</f>
        <v>0</v>
      </c>
      <c r="AC48" s="1239">
        <f>SUM(AC49,AC54,AC57)</f>
        <v>0</v>
      </c>
      <c r="AD48" s="1239">
        <f>SUM(AD49,AD54,AD57)</f>
        <v>0</v>
      </c>
      <c r="AE48" s="1239">
        <f>SUM(AE49,AE54,AE57)</f>
        <v>0</v>
      </c>
      <c r="AF48" s="2448"/>
      <c r="AG48" s="1237"/>
      <c r="AS48" s="1158">
        <v>23</v>
      </c>
    </row>
    <row customHeight="1" ht="11.549999999999999">
      <c r="F49" s="1233" t="s">
        <v>712</v>
      </c>
      <c r="G49" s="1240" t="s">
        <v>1076</v>
      </c>
      <c r="H49" s="1239">
        <f>SUM(I49:J49)</f>
        <v>0</v>
      </c>
      <c r="I49" s="1239">
        <f>SUM(I50:I53)</f>
        <v>0</v>
      </c>
      <c r="J49" s="1228"/>
      <c r="K49" s="1239">
        <f>SUM(L49:P49)</f>
        <v>0</v>
      </c>
      <c r="L49" s="1239">
        <f>SUM(L50:L53)</f>
        <v>0</v>
      </c>
      <c r="M49" s="1239">
        <f>SUM(M50:M53)</f>
        <v>0</v>
      </c>
      <c r="N49" s="1239">
        <f>SUM(N50:N53)</f>
        <v>0</v>
      </c>
      <c r="O49" s="1239">
        <f>SUM(O50:O53)</f>
        <v>0</v>
      </c>
      <c r="P49" s="2448"/>
      <c r="Q49" s="1239">
        <f>SUM(R49:AF49)</f>
        <v>0</v>
      </c>
      <c r="R49" s="1239">
        <f>SUM(R50:R53)</f>
        <v>0</v>
      </c>
      <c r="S49" s="1239">
        <f>SUM(S50:S53)</f>
        <v>0</v>
      </c>
      <c r="T49" s="1239">
        <f>SUM(T50:T53)</f>
        <v>0</v>
      </c>
      <c r="U49" s="1239">
        <f>SUM(U50:U53)</f>
        <v>0</v>
      </c>
      <c r="V49" s="1239">
        <f>SUM(V50:V53)</f>
        <v>0</v>
      </c>
      <c r="W49" s="1239">
        <f>SUM(W50:W53)</f>
        <v>0</v>
      </c>
      <c r="X49" s="1239">
        <f>SUM(X50:X53)</f>
        <v>0</v>
      </c>
      <c r="Y49" s="1239">
        <f>SUM(Y50:Y53)</f>
        <v>0</v>
      </c>
      <c r="Z49" s="1239">
        <f>SUM(Z50:Z53)</f>
        <v>0</v>
      </c>
      <c r="AA49" s="1239">
        <f>SUM(AA50:AA53)</f>
        <v>0</v>
      </c>
      <c r="AB49" s="1239">
        <f>SUM(AB50:AB53)</f>
        <v>0</v>
      </c>
      <c r="AC49" s="1239">
        <f>SUM(AC50:AC53)</f>
        <v>0</v>
      </c>
      <c r="AD49" s="1239">
        <f>SUM(AD50:AD53)</f>
        <v>0</v>
      </c>
      <c r="AE49" s="1239">
        <f>SUM(AE50:AE53)</f>
        <v>0</v>
      </c>
      <c r="AF49" s="2448"/>
      <c r="AG49" s="1237"/>
      <c r="AS49" s="1158">
        <v>11</v>
      </c>
    </row>
    <row customHeight="1" ht="24">
      <c r="F50" s="1233" t="s">
        <v>715</v>
      </c>
      <c r="G50" s="1241" t="s">
        <v>1114</v>
      </c>
      <c r="H50" s="1239">
        <f>SUM(I50:J50)</f>
        <v>0</v>
      </c>
      <c r="I50" s="1238"/>
      <c r="J50" s="1228"/>
      <c r="K50" s="1239">
        <f>SUM(L50:P50)</f>
        <v>0</v>
      </c>
      <c r="L50" s="1238"/>
      <c r="M50" s="1238"/>
      <c r="N50" s="1238"/>
      <c r="O50" s="1238"/>
      <c r="P50" s="2448"/>
      <c r="Q50" s="1239">
        <f>SUM(R50:AF50)</f>
        <v>0</v>
      </c>
      <c r="R50" s="1238"/>
      <c r="S50" s="1238"/>
      <c r="T50" s="1238"/>
      <c r="U50" s="1238"/>
      <c r="V50" s="1238"/>
      <c r="W50" s="1238"/>
      <c r="X50" s="1238"/>
      <c r="Y50" s="1238"/>
      <c r="Z50" s="1238"/>
      <c r="AA50" s="1238"/>
      <c r="AB50" s="1238"/>
      <c r="AC50" s="1238"/>
      <c r="AD50" s="1238"/>
      <c r="AE50" s="1238"/>
      <c r="AF50" s="2448"/>
      <c r="AG50" s="1237"/>
      <c r="AS50" s="1158">
        <v>23</v>
      </c>
    </row>
    <row customHeight="1" ht="11.549999999999999">
      <c r="F51" s="1233" t="s">
        <v>718</v>
      </c>
      <c r="G51" s="1241" t="s">
        <v>1116</v>
      </c>
      <c r="H51" s="1239">
        <f>SUM(I51:J51)</f>
        <v>0</v>
      </c>
      <c r="I51" s="1238"/>
      <c r="J51" s="1228"/>
      <c r="K51" s="1239">
        <f>SUM(L51:P51)</f>
        <v>0</v>
      </c>
      <c r="L51" s="1238"/>
      <c r="M51" s="1238"/>
      <c r="N51" s="1238"/>
      <c r="O51" s="1238"/>
      <c r="P51" s="2448"/>
      <c r="Q51" s="1239">
        <f>SUM(R51:AF51)</f>
        <v>0</v>
      </c>
      <c r="R51" s="1238"/>
      <c r="S51" s="1238"/>
      <c r="T51" s="1238"/>
      <c r="U51" s="1238"/>
      <c r="V51" s="1238"/>
      <c r="W51" s="1238"/>
      <c r="X51" s="1238"/>
      <c r="Y51" s="1238"/>
      <c r="Z51" s="1238"/>
      <c r="AA51" s="1238"/>
      <c r="AB51" s="1238"/>
      <c r="AC51" s="1238"/>
      <c r="AD51" s="1238"/>
      <c r="AE51" s="1238"/>
      <c r="AF51" s="2448"/>
      <c r="AG51" s="1237"/>
      <c r="AS51" s="1158">
        <v>11</v>
      </c>
    </row>
    <row customHeight="1" ht="11.549999999999999">
      <c r="F52" s="1233" t="s">
        <v>1125</v>
      </c>
      <c r="G52" s="1241" t="s">
        <v>1118</v>
      </c>
      <c r="H52" s="1239">
        <f>SUM(I52:J52)</f>
        <v>0</v>
      </c>
      <c r="I52" s="1238"/>
      <c r="J52" s="1228"/>
      <c r="K52" s="1239">
        <f>SUM(L52:P52)</f>
        <v>0</v>
      </c>
      <c r="L52" s="1238"/>
      <c r="M52" s="1238"/>
      <c r="N52" s="1238"/>
      <c r="O52" s="1238"/>
      <c r="P52" s="2448"/>
      <c r="Q52" s="1239">
        <f>SUM(R52:AF52)</f>
        <v>0</v>
      </c>
      <c r="R52" s="1238"/>
      <c r="S52" s="1238"/>
      <c r="T52" s="1238"/>
      <c r="U52" s="1238"/>
      <c r="V52" s="1238"/>
      <c r="W52" s="1238"/>
      <c r="X52" s="1238"/>
      <c r="Y52" s="1238"/>
      <c r="Z52" s="1238"/>
      <c r="AA52" s="1238"/>
      <c r="AB52" s="1238"/>
      <c r="AC52" s="1238"/>
      <c r="AD52" s="1238"/>
      <c r="AE52" s="1238"/>
      <c r="AF52" s="2448"/>
      <c r="AG52" s="1237"/>
      <c r="AS52" s="1158">
        <v>11</v>
      </c>
    </row>
    <row customHeight="1" ht="35.699999999999996">
      <c r="F53" s="1233" t="s">
        <v>1126</v>
      </c>
      <c r="G53" s="1241" t="s">
        <v>1120</v>
      </c>
      <c r="H53" s="1239">
        <f>SUM(I53:J53)</f>
        <v>0</v>
      </c>
      <c r="I53" s="1238"/>
      <c r="J53" s="1228"/>
      <c r="K53" s="1239">
        <f>SUM(L53:P53)</f>
        <v>0</v>
      </c>
      <c r="L53" s="1238"/>
      <c r="M53" s="1238"/>
      <c r="N53" s="1238"/>
      <c r="O53" s="1238"/>
      <c r="P53" s="2448"/>
      <c r="Q53" s="1239">
        <f>SUM(R53:AF53)</f>
        <v>0</v>
      </c>
      <c r="R53" s="1238"/>
      <c r="S53" s="1238"/>
      <c r="T53" s="1238"/>
      <c r="U53" s="1238"/>
      <c r="V53" s="1238"/>
      <c r="W53" s="1238"/>
      <c r="X53" s="1238"/>
      <c r="Y53" s="1238"/>
      <c r="Z53" s="1238"/>
      <c r="AA53" s="1238"/>
      <c r="AB53" s="1238"/>
      <c r="AC53" s="1238"/>
      <c r="AD53" s="1238"/>
      <c r="AE53" s="1238"/>
      <c r="AF53" s="2448"/>
      <c r="AG53" s="1237"/>
      <c r="AS53" s="1158">
        <v>34</v>
      </c>
    </row>
    <row customHeight="1" ht="11.549999999999999">
      <c r="F54" s="1233" t="s">
        <v>308</v>
      </c>
      <c r="G54" s="1240" t="s">
        <v>1105</v>
      </c>
      <c r="H54" s="1239">
        <f>SUM(I54:J54)</f>
        <v>0</v>
      </c>
      <c r="I54" s="1239">
        <f>SUM(I55:I56)</f>
        <v>0</v>
      </c>
      <c r="J54" s="1228"/>
      <c r="K54" s="1239">
        <f>SUM(L54:P54)</f>
        <v>0</v>
      </c>
      <c r="L54" s="1239">
        <f>SUM(L55:L56)</f>
        <v>0</v>
      </c>
      <c r="M54" s="1239">
        <f>SUM(M55:M56)</f>
        <v>0</v>
      </c>
      <c r="N54" s="1239">
        <f>SUM(N55:N56)</f>
        <v>0</v>
      </c>
      <c r="O54" s="1239">
        <f>SUM(O55:O56)</f>
        <v>0</v>
      </c>
      <c r="P54" s="2448"/>
      <c r="Q54" s="1239">
        <f>SUM(R54:AF54)</f>
        <v>0</v>
      </c>
      <c r="R54" s="1239">
        <f>SUM(R55:R56)</f>
        <v>0</v>
      </c>
      <c r="S54" s="1239">
        <f>SUM(S55:S56)</f>
        <v>0</v>
      </c>
      <c r="T54" s="1239">
        <f>SUM(T55:T56)</f>
        <v>0</v>
      </c>
      <c r="U54" s="1239">
        <f>SUM(U55:U56)</f>
        <v>0</v>
      </c>
      <c r="V54" s="1239">
        <f>SUM(V55:V56)</f>
        <v>0</v>
      </c>
      <c r="W54" s="1239">
        <f>SUM(W55:W56)</f>
        <v>0</v>
      </c>
      <c r="X54" s="1239">
        <f>SUM(X55:X56)</f>
        <v>0</v>
      </c>
      <c r="Y54" s="1239">
        <f>SUM(Y55:Y56)</f>
        <v>0</v>
      </c>
      <c r="Z54" s="1239">
        <f>SUM(Z55:Z56)</f>
        <v>0</v>
      </c>
      <c r="AA54" s="1239">
        <f>SUM(AA55:AA56)</f>
        <v>0</v>
      </c>
      <c r="AB54" s="1239">
        <f>SUM(AB55:AB56)</f>
        <v>0</v>
      </c>
      <c r="AC54" s="1239">
        <f>SUM(AC55:AC56)</f>
        <v>0</v>
      </c>
      <c r="AD54" s="1239">
        <f>SUM(AD55:AD56)</f>
        <v>0</v>
      </c>
      <c r="AE54" s="1239">
        <f>SUM(AE55:AE56)</f>
        <v>0</v>
      </c>
      <c r="AF54" s="2448"/>
      <c r="AG54" s="1237"/>
      <c r="AS54" s="1158">
        <v>11</v>
      </c>
    </row>
    <row customHeight="1" ht="48.29999999999999">
      <c r="F55" s="1233" t="s">
        <v>722</v>
      </c>
      <c r="G55" s="1241" t="s">
        <v>1106</v>
      </c>
      <c r="H55" s="1239">
        <f>SUM(I55:J55)</f>
        <v>0</v>
      </c>
      <c r="I55" s="1238"/>
      <c r="J55" s="1228"/>
      <c r="K55" s="1239">
        <f>SUM(L55:P55)</f>
        <v>0</v>
      </c>
      <c r="L55" s="1238"/>
      <c r="M55" s="1238"/>
      <c r="N55" s="1238"/>
      <c r="O55" s="1238"/>
      <c r="P55" s="2448"/>
      <c r="Q55" s="1239">
        <f>SUM(R55:AF55)</f>
        <v>0</v>
      </c>
      <c r="R55" s="1238"/>
      <c r="S55" s="1238"/>
      <c r="T55" s="1238"/>
      <c r="U55" s="1238"/>
      <c r="V55" s="1238"/>
      <c r="W55" s="1238"/>
      <c r="X55" s="1238"/>
      <c r="Y55" s="1238"/>
      <c r="Z55" s="1238"/>
      <c r="AA55" s="1238"/>
      <c r="AB55" s="1238"/>
      <c r="AC55" s="1238"/>
      <c r="AD55" s="1238"/>
      <c r="AE55" s="1238"/>
      <c r="AF55" s="2448"/>
      <c r="AG55" s="1237"/>
      <c r="AS55" s="1158">
        <v>46</v>
      </c>
    </row>
    <row customHeight="1" ht="11.549999999999999">
      <c r="F56" s="1233" t="s">
        <v>724</v>
      </c>
      <c r="G56" s="1241" t="s">
        <v>1107</v>
      </c>
      <c r="H56" s="1239">
        <f>SUM(I56:J56)</f>
        <v>0</v>
      </c>
      <c r="I56" s="1238"/>
      <c r="J56" s="1228"/>
      <c r="K56" s="1239">
        <f>SUM(L56:P56)</f>
        <v>0</v>
      </c>
      <c r="L56" s="1238"/>
      <c r="M56" s="1238"/>
      <c r="N56" s="1238"/>
      <c r="O56" s="1238"/>
      <c r="P56" s="2448"/>
      <c r="Q56" s="1239">
        <f>SUM(R56:AF56)</f>
        <v>0</v>
      </c>
      <c r="R56" s="1238"/>
      <c r="S56" s="1238"/>
      <c r="T56" s="1238"/>
      <c r="U56" s="1238"/>
      <c r="V56" s="1238"/>
      <c r="W56" s="1238"/>
      <c r="X56" s="1238"/>
      <c r="Y56" s="1238"/>
      <c r="Z56" s="1238"/>
      <c r="AA56" s="1238"/>
      <c r="AB56" s="1238"/>
      <c r="AC56" s="1238"/>
      <c r="AD56" s="1238"/>
      <c r="AE56" s="1238"/>
      <c r="AF56" s="2448"/>
      <c r="AG56" s="1237"/>
      <c r="AS56" s="1158">
        <v>11</v>
      </c>
    </row>
    <row customHeight="1" ht="11.549999999999999">
      <c r="F57" s="1233" t="s">
        <v>311</v>
      </c>
      <c r="G57" s="1240" t="s">
        <v>1123</v>
      </c>
      <c r="H57" s="1239">
        <f>SUM(I57:J57)</f>
        <v>0</v>
      </c>
      <c r="I57" s="1238"/>
      <c r="J57" s="1228"/>
      <c r="K57" s="1239">
        <f>SUM(L57:P57)</f>
        <v>0</v>
      </c>
      <c r="L57" s="1238"/>
      <c r="M57" s="1238"/>
      <c r="N57" s="1238"/>
      <c r="O57" s="1238"/>
      <c r="P57" s="2448"/>
      <c r="Q57" s="1239">
        <f>SUM(R57:AF57)</f>
        <v>0</v>
      </c>
      <c r="R57" s="1238"/>
      <c r="S57" s="1238"/>
      <c r="T57" s="1238"/>
      <c r="U57" s="1238"/>
      <c r="V57" s="1238"/>
      <c r="W57" s="1238"/>
      <c r="X57" s="1238"/>
      <c r="Y57" s="1238"/>
      <c r="Z57" s="1238"/>
      <c r="AA57" s="1238"/>
      <c r="AB57" s="1238"/>
      <c r="AC57" s="1238"/>
      <c r="AD57" s="1238"/>
      <c r="AE57" s="1238"/>
      <c r="AF57" s="2448"/>
      <c r="AG57" s="1237"/>
      <c r="AS57" s="1158">
        <v>11</v>
      </c>
    </row>
    <row customHeight="1" ht="11.549999999999999">
      <c r="F58" s="1233"/>
      <c r="G58" s="1242" t="s">
        <v>1109</v>
      </c>
      <c r="H58" s="1239">
        <f>SUM(I58:J58)</f>
        <v>0</v>
      </c>
      <c r="I58" s="1239">
        <f>SUM(I38,I48)</f>
        <v>0</v>
      </c>
      <c r="J58" s="1228"/>
      <c r="K58" s="1239">
        <f>SUM(L58:P58)</f>
        <v>0</v>
      </c>
      <c r="L58" s="1239">
        <f>SUM(L38,L48)</f>
        <v>0</v>
      </c>
      <c r="M58" s="1239">
        <f>SUM(M38,M48)</f>
        <v>0</v>
      </c>
      <c r="N58" s="1239">
        <f>SUM(N38,N48)</f>
        <v>0</v>
      </c>
      <c r="O58" s="1239">
        <f>SUM(O38,O48)</f>
        <v>0</v>
      </c>
      <c r="P58" s="2448"/>
      <c r="Q58" s="1239">
        <f>SUM(R58:AF58)</f>
        <v>0</v>
      </c>
      <c r="R58" s="1239">
        <f>SUM(R38,R48)</f>
        <v>0</v>
      </c>
      <c r="S58" s="1239">
        <f>SUM(S38,S48)</f>
        <v>0</v>
      </c>
      <c r="T58" s="1239">
        <f>SUM(T38,T48)</f>
        <v>0</v>
      </c>
      <c r="U58" s="1239">
        <f>SUM(U38,U48)</f>
        <v>0</v>
      </c>
      <c r="V58" s="1239">
        <f>SUM(V38,V48)</f>
        <v>0</v>
      </c>
      <c r="W58" s="1239">
        <f>SUM(W38,W48)</f>
        <v>0</v>
      </c>
      <c r="X58" s="1239">
        <f>SUM(X38,X48)</f>
        <v>0</v>
      </c>
      <c r="Y58" s="1239">
        <f>SUM(Y38,Y48)</f>
        <v>0</v>
      </c>
      <c r="Z58" s="1239">
        <f>SUM(Z38,Z48)</f>
        <v>0</v>
      </c>
      <c r="AA58" s="1239">
        <f>SUM(AA38,AA48)</f>
        <v>0</v>
      </c>
      <c r="AB58" s="1239">
        <f>SUM(AB38,AB48)</f>
        <v>0</v>
      </c>
      <c r="AC58" s="1239">
        <f>SUM(AC38,AC48)</f>
        <v>0</v>
      </c>
      <c r="AD58" s="1239">
        <f>SUM(AD38,AD48)</f>
        <v>0</v>
      </c>
      <c r="AE58" s="1239">
        <f>SUM(AE38,AE48)</f>
        <v>0</v>
      </c>
      <c r="AF58" s="2448"/>
      <c r="AG58" s="1237"/>
      <c r="AS58" s="1158">
        <v>11</v>
      </c>
    </row>
    <row customHeight="1" ht="10.5" hidden="1">
      <c r="A59" s="1169" t="s">
        <v>82</v>
      </c>
      <c r="B59" s="1169">
        <v>0</v>
      </c>
      <c r="C59" s="1169">
        <v>0</v>
      </c>
      <c r="D59" s="1163">
        <v>0</v>
      </c>
      <c r="E59" s="512">
        <v>3</v>
      </c>
      <c r="F59" s="1158">
        <v>6</v>
      </c>
      <c r="G59" s="1158">
        <v>60</v>
      </c>
      <c r="H59" s="1158">
        <v>0</v>
      </c>
      <c r="I59" s="1158">
        <v>0</v>
      </c>
      <c r="J59" s="1158">
        <v>0</v>
      </c>
      <c r="K59" s="1638">
        <v>0</v>
      </c>
      <c r="L59" s="1638">
        <v>0</v>
      </c>
      <c r="M59" s="1638">
        <v>0</v>
      </c>
      <c r="N59" s="1638">
        <v>0</v>
      </c>
      <c r="O59" s="1638">
        <v>0</v>
      </c>
      <c r="P59" s="1638">
        <v>0</v>
      </c>
      <c r="Q59" s="1638">
        <v>0</v>
      </c>
      <c r="R59" s="1638">
        <v>0</v>
      </c>
      <c r="S59" s="1638">
        <v>0</v>
      </c>
      <c r="T59" s="1638">
        <v>0</v>
      </c>
      <c r="U59" s="1638">
        <v>0</v>
      </c>
      <c r="V59" s="1638">
        <v>0</v>
      </c>
      <c r="W59" s="1638">
        <v>0</v>
      </c>
      <c r="X59" s="1638">
        <v>0</v>
      </c>
      <c r="Y59" s="1638">
        <v>0</v>
      </c>
      <c r="Z59" s="1638">
        <v>0</v>
      </c>
      <c r="AA59" s="1638">
        <v>0</v>
      </c>
      <c r="AB59" s="1638">
        <v>0</v>
      </c>
      <c r="AC59" s="1638">
        <v>0</v>
      </c>
      <c r="AD59" s="1638">
        <v>0</v>
      </c>
      <c r="AE59" s="1638">
        <v>0</v>
      </c>
      <c r="AF59" s="1638">
        <v>0</v>
      </c>
      <c r="AG59" s="1158">
        <v>1</v>
      </c>
      <c r="AH59" s="1158">
        <v>8</v>
      </c>
      <c r="AI59" s="1158">
        <v>8</v>
      </c>
      <c r="AJ59" s="1158">
        <v>8</v>
      </c>
      <c r="AK59" s="1158">
        <v>8</v>
      </c>
      <c r="AL59" s="1158">
        <v>8</v>
      </c>
      <c r="AM59" s="1158">
        <v>8</v>
      </c>
      <c r="AN59" s="1158">
        <v>8</v>
      </c>
      <c r="AO59" s="1158">
        <v>8</v>
      </c>
      <c r="AP59" s="1158">
        <v>8</v>
      </c>
      <c r="AQ59" s="1158">
        <v>8</v>
      </c>
      <c r="AR59" s="1158">
        <v>8</v>
      </c>
      <c r="AS59" s="1158">
        <v>10</v>
      </c>
    </row>
  </sheetData>
  <sheetProtection formatColumns="0" formatRows="0" autoFilter="0" sort="0" insertRows="0" insertColumns="1" deleteRows="0" deleteColumns="0"/>
  <mergeCells count="13">
    <mergeCell ref="F5:J5"/>
    <mergeCell ref="F6:J6"/>
    <mergeCell ref="F9:J9"/>
    <mergeCell ref="G14:J14"/>
    <mergeCell ref="G37:J37"/>
    <mergeCell ref="F10:F12"/>
    <mergeCell ref="H10:J10"/>
    <mergeCell ref="H11:J11"/>
    <mergeCell ref="G10:G12"/>
    <mergeCell ref="K10:P10"/>
    <mergeCell ref="K11:P11"/>
    <mergeCell ref="Q10:AF10"/>
    <mergeCell ref="Q11:AF11"/>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R16:AE16 R17:AE17 R18:AE18 R19:AE19 R20:AE20 R21:AE21 R22:AE22 R23:AE23 R24:AE24 R25:AE25 R26:AE26 R27:AE27 R29:AE29 R30:AE30 R31:AE31 R33:AE33 R34:AE34 R35:AE35 R40:AE40 R41:AE41 R42:AE42 R43:AE43 R45:AE45 R46:AE46 R47:AE47 R50:AE50 R51:AE51 R52:AE52 R53:AE53 R55:AE55 R56:AE56 R57:AE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DDD5-3B8E-9733-DA73-0.D5731B89}" mc:Ignorable="x14ac xr xr2 xr3">
  <sheetPr>
    <tabColor theme="9" tint="-0.25"/>
  </sheetPr>
  <dimension ref="A1:GC31"/>
  <sheetViews>
    <sheetView topLeftCell="A1" showGridLines="0" zoomScale="90" workbookViewId="0">
      <selection activeCell="CK25" sqref="CK25"/>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АО "Водоканал"</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1127</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1128</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301</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88</v>
      </c>
      <c r="G11" s="2227" t="s">
        <v>1129</v>
      </c>
      <c r="H11" s="2459" t="s">
        <v>1130</v>
      </c>
      <c r="I11" s="2459" t="s">
        <v>1131</v>
      </c>
      <c r="J11" s="2460"/>
      <c r="K11" s="2460"/>
      <c r="L11" s="2460"/>
      <c r="M11" s="2460"/>
      <c r="N11" s="2460"/>
      <c r="O11" s="2231" t="s">
        <v>1132</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1132</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1132</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1133</v>
      </c>
      <c r="P12" s="2231"/>
      <c r="Q12" s="2231"/>
      <c r="R12" s="2231"/>
      <c r="S12" s="2231" t="s">
        <v>1134</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1135</v>
      </c>
      <c r="BU12" s="2409"/>
      <c r="BV12" s="2409"/>
      <c r="BW12" s="2455"/>
      <c r="BX12" s="2408" t="s">
        <v>1136</v>
      </c>
      <c r="BY12" s="2409"/>
      <c r="BZ12" s="2409"/>
      <c r="CA12" s="2455"/>
      <c r="CB12" s="2408" t="s">
        <v>1137</v>
      </c>
      <c r="CC12" s="2455"/>
      <c r="CD12" s="2408" t="s">
        <v>1138</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1139</v>
      </c>
      <c r="CZ12" s="2409"/>
      <c r="DA12" s="2409"/>
      <c r="DB12" s="2409"/>
      <c r="DC12" s="2409"/>
      <c r="DD12" s="2455"/>
      <c r="DE12" s="2408" t="s">
        <v>1140</v>
      </c>
      <c r="DF12" s="2455"/>
      <c r="DG12" s="2408" t="s">
        <v>1138</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1141</v>
      </c>
      <c r="P13" s="2231"/>
      <c r="Q13" s="2231"/>
      <c r="R13" s="2231"/>
      <c r="S13" s="2358" t="s">
        <v>1142</v>
      </c>
      <c r="T13" s="2410"/>
      <c r="U13" s="2149" t="s">
        <v>1143</v>
      </c>
      <c r="V13" s="2149"/>
      <c r="W13" s="2149"/>
      <c r="X13" s="2149"/>
      <c r="Y13" s="2149" t="s">
        <v>1144</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1145</v>
      </c>
      <c r="BU13" s="2410"/>
      <c r="BV13" s="2358" t="s">
        <v>1146</v>
      </c>
      <c r="BW13" s="2410"/>
      <c r="BX13" s="2358" t="s">
        <v>1147</v>
      </c>
      <c r="BY13" s="2410"/>
      <c r="BZ13" s="2358" t="s">
        <v>1148</v>
      </c>
      <c r="CA13" s="2410"/>
      <c r="CB13" s="2358" t="s">
        <v>1149</v>
      </c>
      <c r="CC13" s="2410"/>
      <c r="CD13" s="2358" t="s">
        <v>1150</v>
      </c>
      <c r="CE13" s="2410"/>
      <c r="CF13" s="2358" t="s">
        <v>1151</v>
      </c>
      <c r="CG13" s="2410"/>
      <c r="CH13" s="2408" t="s">
        <v>1152</v>
      </c>
      <c r="CI13" s="2409"/>
      <c r="CJ13" s="2409"/>
      <c r="CK13" s="2455"/>
      <c r="CL13" s="2458"/>
      <c r="CM13" s="2456"/>
      <c r="CN13" s="2456"/>
      <c r="CO13" s="2456"/>
      <c r="CP13" s="2456"/>
      <c r="CQ13" s="2456"/>
      <c r="CR13" s="2456"/>
      <c r="CS13" s="2456"/>
      <c r="CT13" s="2456"/>
      <c r="CU13" s="2456"/>
      <c r="CV13" s="2456"/>
      <c r="CW13" s="2456"/>
      <c r="CX13" s="2475"/>
      <c r="CY13" s="2358" t="s">
        <v>1153</v>
      </c>
      <c r="CZ13" s="2410"/>
      <c r="DA13" s="2358" t="s">
        <v>1154</v>
      </c>
      <c r="DB13" s="2410"/>
      <c r="DC13" s="2358" t="s">
        <v>1155</v>
      </c>
      <c r="DD13" s="2410"/>
      <c r="DE13" s="2358" t="s">
        <v>1156</v>
      </c>
      <c r="DF13" s="2410"/>
      <c r="DG13" s="2408" t="s">
        <v>1157</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1158</v>
      </c>
      <c r="P14" s="2410"/>
      <c r="Q14" s="2358" t="s">
        <v>1159</v>
      </c>
      <c r="R14" s="2410"/>
      <c r="S14" s="2359"/>
      <c r="T14" s="2235"/>
      <c r="U14" s="2358" t="s">
        <v>857</v>
      </c>
      <c r="V14" s="2410"/>
      <c r="W14" s="2358" t="s">
        <v>860</v>
      </c>
      <c r="X14" s="2410"/>
      <c r="Y14" s="2358" t="s">
        <v>857</v>
      </c>
      <c r="Z14" s="2410"/>
      <c r="AA14" s="2358" t="s">
        <v>867</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1160</v>
      </c>
      <c r="CI14" s="2410"/>
      <c r="CJ14" s="2358" t="s">
        <v>1161</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1162</v>
      </c>
      <c r="DH14" s="2410"/>
      <c r="DI14" s="2358" t="s">
        <v>1163</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847</v>
      </c>
      <c r="P16" s="2455"/>
      <c r="Q16" s="2408" t="s">
        <v>849</v>
      </c>
      <c r="R16" s="2455"/>
      <c r="S16" s="2408" t="s">
        <v>853</v>
      </c>
      <c r="T16" s="2455"/>
      <c r="U16" s="2408" t="s">
        <v>858</v>
      </c>
      <c r="V16" s="2455"/>
      <c r="W16" s="2408" t="s">
        <v>861</v>
      </c>
      <c r="X16" s="2455"/>
      <c r="Y16" s="2408" t="s">
        <v>865</v>
      </c>
      <c r="Z16" s="2455"/>
      <c r="AA16" s="2408" t="s">
        <v>868</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557</v>
      </c>
      <c r="BU16" s="2455"/>
      <c r="BV16" s="2408" t="s">
        <v>557</v>
      </c>
      <c r="BW16" s="2455"/>
      <c r="BX16" s="2408" t="s">
        <v>557</v>
      </c>
      <c r="BY16" s="2455"/>
      <c r="BZ16" s="2408" t="s">
        <v>557</v>
      </c>
      <c r="CA16" s="2455"/>
      <c r="CB16" s="2408" t="s">
        <v>1164</v>
      </c>
      <c r="CC16" s="2455"/>
      <c r="CD16" s="2408" t="s">
        <v>557</v>
      </c>
      <c r="CE16" s="2455"/>
      <c r="CF16" s="2408" t="s">
        <v>1165</v>
      </c>
      <c r="CG16" s="2455"/>
      <c r="CH16" s="2408" t="s">
        <v>1166</v>
      </c>
      <c r="CI16" s="2455"/>
      <c r="CJ16" s="2408" t="s">
        <v>1166</v>
      </c>
      <c r="CK16" s="2455"/>
      <c r="CL16" s="2458"/>
      <c r="CM16" s="2456"/>
      <c r="CN16" s="2456"/>
      <c r="CO16" s="2456"/>
      <c r="CP16" s="2456"/>
      <c r="CQ16" s="2456"/>
      <c r="CR16" s="2456"/>
      <c r="CS16" s="2456"/>
      <c r="CT16" s="2456"/>
      <c r="CU16" s="2456"/>
      <c r="CV16" s="2456"/>
      <c r="CW16" s="2456"/>
      <c r="CX16" s="2475"/>
      <c r="CY16" s="2358" t="s">
        <v>557</v>
      </c>
      <c r="CZ16" s="2410"/>
      <c r="DA16" s="2358" t="s">
        <v>557</v>
      </c>
      <c r="DB16" s="2410"/>
      <c r="DC16" s="2358" t="s">
        <v>557</v>
      </c>
      <c r="DD16" s="2410"/>
      <c r="DE16" s="2408" t="s">
        <v>1164</v>
      </c>
      <c r="DF16" s="2455"/>
      <c r="DG16" s="2408" t="s">
        <v>1167</v>
      </c>
      <c r="DH16" s="2455"/>
      <c r="DI16" s="2408" t="s">
        <v>1167</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1168</v>
      </c>
      <c r="P17" s="1194" t="s">
        <v>1169</v>
      </c>
      <c r="Q17" s="1194" t="s">
        <v>1168</v>
      </c>
      <c r="R17" s="1194" t="s">
        <v>1169</v>
      </c>
      <c r="S17" s="1194" t="s">
        <v>1168</v>
      </c>
      <c r="T17" s="1194" t="s">
        <v>1169</v>
      </c>
      <c r="U17" s="1194" t="s">
        <v>1168</v>
      </c>
      <c r="V17" s="1194" t="s">
        <v>1169</v>
      </c>
      <c r="W17" s="1194" t="s">
        <v>1168</v>
      </c>
      <c r="X17" s="1194" t="s">
        <v>1169</v>
      </c>
      <c r="Y17" s="1194" t="s">
        <v>1168</v>
      </c>
      <c r="Z17" s="1194" t="s">
        <v>1169</v>
      </c>
      <c r="AA17" s="1194" t="s">
        <v>1168</v>
      </c>
      <c r="AB17" s="1194" t="s">
        <v>1169</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1168</v>
      </c>
      <c r="BU17" s="1194" t="s">
        <v>1169</v>
      </c>
      <c r="BV17" s="1194" t="s">
        <v>1168</v>
      </c>
      <c r="BW17" s="1194" t="s">
        <v>1169</v>
      </c>
      <c r="BX17" s="1194" t="s">
        <v>1168</v>
      </c>
      <c r="BY17" s="1194" t="s">
        <v>1169</v>
      </c>
      <c r="BZ17" s="1194" t="s">
        <v>1168</v>
      </c>
      <c r="CA17" s="1194" t="s">
        <v>1169</v>
      </c>
      <c r="CB17" s="1194" t="s">
        <v>1168</v>
      </c>
      <c r="CC17" s="1194" t="s">
        <v>1169</v>
      </c>
      <c r="CD17" s="1194" t="s">
        <v>1168</v>
      </c>
      <c r="CE17" s="1194" t="s">
        <v>1169</v>
      </c>
      <c r="CF17" s="1194" t="s">
        <v>1168</v>
      </c>
      <c r="CG17" s="1194" t="s">
        <v>1169</v>
      </c>
      <c r="CH17" s="1194" t="s">
        <v>1168</v>
      </c>
      <c r="CI17" s="1194" t="s">
        <v>1169</v>
      </c>
      <c r="CJ17" s="1194" t="s">
        <v>1168</v>
      </c>
      <c r="CK17" s="1194" t="s">
        <v>1169</v>
      </c>
      <c r="CL17" s="2458"/>
      <c r="CM17" s="2456"/>
      <c r="CN17" s="2456"/>
      <c r="CO17" s="2456"/>
      <c r="CP17" s="2456"/>
      <c r="CQ17" s="2456"/>
      <c r="CR17" s="2456"/>
      <c r="CS17" s="2456"/>
      <c r="CT17" s="2456"/>
      <c r="CU17" s="2456"/>
      <c r="CV17" s="2456"/>
      <c r="CW17" s="2456"/>
      <c r="CX17" s="2475"/>
      <c r="CY17" s="1194" t="s">
        <v>1168</v>
      </c>
      <c r="CZ17" s="1194" t="s">
        <v>1169</v>
      </c>
      <c r="DA17" s="1194" t="s">
        <v>1168</v>
      </c>
      <c r="DB17" s="1194" t="s">
        <v>1169</v>
      </c>
      <c r="DC17" s="1194" t="s">
        <v>1168</v>
      </c>
      <c r="DD17" s="1194" t="s">
        <v>1169</v>
      </c>
      <c r="DE17" s="1194" t="s">
        <v>1168</v>
      </c>
      <c r="DF17" s="1194" t="s">
        <v>1169</v>
      </c>
      <c r="DG17" s="1194" t="s">
        <v>1168</v>
      </c>
      <c r="DH17" s="1194" t="s">
        <v>1169</v>
      </c>
      <c r="DI17" s="1194" t="s">
        <v>1168</v>
      </c>
      <c r="DJ17" s="1194" t="s">
        <v>1169</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377</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1019</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 (01.01.2024-31.12.2027)</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24.75">
      <c r="A22" s="928" t="s">
        <v>1019</v>
      </c>
      <c r="B22" s="943"/>
      <c r="C22" s="928"/>
      <c r="D22" s="928"/>
      <c r="E22" s="1850"/>
      <c r="F22" s="2411">
        <v>1</v>
      </c>
      <c r="G22" s="2584" t="s">
        <v>1007</v>
      </c>
      <c r="H22" s="1213" t="s">
        <v>1170</v>
      </c>
      <c r="I22" s="1982" t="s">
        <v>1171</v>
      </c>
      <c r="J22" s="1214"/>
      <c r="K22" s="1214"/>
      <c r="L22" s="1214"/>
      <c r="M22" s="1214"/>
      <c r="N22" s="1214"/>
      <c r="O22" s="1215"/>
      <c r="P22" s="1215"/>
      <c r="Q22" s="1215"/>
      <c r="R22" s="1215"/>
      <c r="S22" s="1215"/>
      <c r="T22" s="1215"/>
      <c r="U22" s="1215"/>
      <c r="V22" s="1215"/>
      <c r="W22" s="1215"/>
      <c r="X22" s="1215"/>
      <c r="Y22" s="1215"/>
      <c r="Z22" s="1215"/>
      <c r="AA22" s="1215"/>
      <c r="AB22" s="1215"/>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v>0</v>
      </c>
      <c r="BU22" s="1215">
        <v>5</v>
      </c>
      <c r="BV22" s="1215">
        <v>0.05</v>
      </c>
      <c r="BW22" s="1215">
        <v>1</v>
      </c>
      <c r="BX22" s="1215"/>
      <c r="BY22" s="1215"/>
      <c r="BZ22" s="1215"/>
      <c r="CA22" s="1215"/>
      <c r="CB22" s="1215">
        <v>0.09</v>
      </c>
      <c r="CC22" s="1215">
        <v>0.05</v>
      </c>
      <c r="CD22" s="1215">
        <v>18.63</v>
      </c>
      <c r="CE22" s="1215">
        <v>20.4</v>
      </c>
      <c r="CF22" s="1215"/>
      <c r="CG22" s="1215"/>
      <c r="CH22" s="1215">
        <v>0.38</v>
      </c>
      <c r="CI22" s="1215">
        <v>0.68</v>
      </c>
      <c r="CJ22" s="1215">
        <v>0.22</v>
      </c>
      <c r="CK22" s="1215">
        <v>0.08</v>
      </c>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12">
      <c r="A23" s="928" t="s">
        <v>1019</v>
      </c>
      <c r="B23" s="943"/>
      <c r="C23" s="928"/>
      <c r="D23" s="928"/>
      <c r="E23" s="928"/>
      <c r="F23" s="2663"/>
      <c r="G23" s="2664" t="s">
        <v>1172</v>
      </c>
      <c r="H23" s="2665"/>
      <c r="I23" s="2665"/>
      <c r="J23" s="2665"/>
      <c r="K23" s="2665"/>
      <c r="L23" s="2665"/>
      <c r="M23" s="2665"/>
      <c r="N23" s="2665"/>
      <c r="O23" s="2665"/>
      <c r="P23" s="2665"/>
      <c r="Q23" s="2665"/>
      <c r="R23" s="2665"/>
      <c r="S23" s="2665"/>
      <c r="T23" s="2665"/>
      <c r="U23" s="2665"/>
      <c r="V23" s="2665"/>
      <c r="W23" s="2665"/>
      <c r="X23" s="2665"/>
      <c r="Y23" s="2665"/>
      <c r="Z23" s="2665"/>
      <c r="AA23" s="2665"/>
      <c r="AB23" s="2665"/>
      <c r="AC23" s="2665"/>
      <c r="AD23" s="2665"/>
      <c r="AE23" s="2665"/>
      <c r="AF23" s="2665"/>
      <c r="AG23" s="2665"/>
      <c r="AH23" s="2665"/>
      <c r="AI23" s="2665"/>
      <c r="AJ23" s="2665"/>
      <c r="AK23" s="2665"/>
      <c r="AL23" s="2665"/>
      <c r="AM23" s="2665"/>
      <c r="AN23" s="2665"/>
      <c r="AO23" s="2665"/>
      <c r="AP23" s="2665"/>
      <c r="AQ23" s="2665"/>
      <c r="AR23" s="2665"/>
      <c r="AS23" s="2665"/>
      <c r="AT23" s="2665"/>
      <c r="AU23" s="2665"/>
      <c r="AV23" s="2665"/>
      <c r="AW23" s="2665"/>
      <c r="AX23" s="2665"/>
      <c r="AY23" s="2665"/>
      <c r="AZ23" s="2665"/>
      <c r="BA23" s="2665"/>
      <c r="BB23" s="2665"/>
      <c r="BC23" s="2665"/>
      <c r="BD23" s="2665"/>
      <c r="BE23" s="2665"/>
      <c r="BF23" s="2665"/>
      <c r="BG23" s="2665"/>
      <c r="BH23" s="2665"/>
      <c r="BI23" s="2665"/>
      <c r="BJ23" s="2665"/>
      <c r="BK23" s="2665"/>
      <c r="BL23" s="2665"/>
      <c r="BM23" s="2665"/>
      <c r="BN23" s="2665"/>
      <c r="BO23" s="2665"/>
      <c r="BP23" s="2665"/>
      <c r="BQ23" s="2665"/>
      <c r="BR23" s="2665"/>
      <c r="BS23" s="2665"/>
      <c r="BT23" s="2665"/>
      <c r="BU23" s="2665"/>
      <c r="BV23" s="2665"/>
      <c r="BW23" s="2665"/>
      <c r="BX23" s="2665"/>
      <c r="BY23" s="2665"/>
      <c r="BZ23" s="2665"/>
      <c r="CA23" s="2665"/>
      <c r="CB23" s="2665"/>
      <c r="CC23" s="2665"/>
      <c r="CD23" s="2665"/>
      <c r="CE23" s="2665"/>
      <c r="CF23" s="2665"/>
      <c r="CG23" s="2665"/>
      <c r="CH23" s="2665"/>
      <c r="CI23" s="2665"/>
      <c r="CJ23" s="2665"/>
      <c r="CK23" s="2665"/>
      <c r="CL23" s="2665"/>
      <c r="CM23" s="2665"/>
      <c r="CN23" s="2665"/>
      <c r="CO23" s="2665"/>
      <c r="CP23" s="2665"/>
      <c r="CQ23" s="2665"/>
      <c r="CR23" s="2665"/>
      <c r="CS23" s="2665"/>
      <c r="CT23" s="2665"/>
      <c r="CU23" s="2665"/>
      <c r="CV23" s="2665"/>
      <c r="CW23" s="2665"/>
      <c r="CX23" s="2665"/>
      <c r="CY23" s="2665"/>
      <c r="CZ23" s="2665"/>
      <c r="DA23" s="2665"/>
      <c r="DB23" s="2665"/>
      <c r="DC23" s="2665"/>
      <c r="DD23" s="2665"/>
      <c r="DE23" s="2665"/>
      <c r="DF23" s="2665"/>
      <c r="DG23" s="2665"/>
      <c r="DH23" s="2665"/>
      <c r="DI23" s="2665"/>
      <c r="DJ23" s="2665"/>
      <c r="DK23" s="2665"/>
      <c r="DL23" s="2665"/>
      <c r="DM23" s="2665"/>
      <c r="DN23" s="2665"/>
      <c r="DO23" s="2665"/>
      <c r="DP23" s="2665"/>
      <c r="DQ23" s="2665"/>
      <c r="DR23" s="2665"/>
      <c r="DS23" s="2665"/>
      <c r="DT23" s="2665"/>
      <c r="DU23" s="2665"/>
      <c r="DV23" s="2665"/>
      <c r="DW23" s="2665"/>
      <c r="DX23" s="2665"/>
      <c r="DY23" s="2665"/>
      <c r="DZ23" s="2665"/>
      <c r="EA23" s="2665"/>
      <c r="EB23" s="2665"/>
      <c r="EC23" s="2665"/>
      <c r="ED23" s="2665"/>
      <c r="EE23" s="2665"/>
      <c r="EF23" s="2665"/>
      <c r="EG23" s="2665"/>
      <c r="EH23" s="2665"/>
      <c r="EI23" s="2665"/>
      <c r="EJ23" s="2665"/>
      <c r="EK23" s="2665"/>
      <c r="EL23" s="2665"/>
      <c r="EM23" s="2665"/>
      <c r="EN23" s="2665"/>
      <c r="EO23" s="2665"/>
      <c r="EP23" s="2665"/>
      <c r="EQ23" s="2665"/>
      <c r="ER23" s="2665"/>
      <c r="ES23" s="2665"/>
      <c r="ET23" s="2665"/>
      <c r="EU23" s="2665"/>
      <c r="EV23" s="2665"/>
      <c r="EW23" s="2665"/>
      <c r="EX23" s="2665"/>
      <c r="EY23" s="2665"/>
      <c r="EZ23" s="2665"/>
      <c r="FA23" s="2665"/>
      <c r="FB23" s="2665"/>
      <c r="FC23" s="2665"/>
      <c r="FD23" s="2665"/>
      <c r="FE23" s="2665"/>
      <c r="FF23" s="2665"/>
      <c r="FG23" s="2665"/>
      <c r="FH23" s="2665"/>
      <c r="FI23" s="2665"/>
      <c r="FJ23" s="2665"/>
      <c r="FK23" s="2665"/>
      <c r="FL23" s="2665"/>
      <c r="FM23" s="2665"/>
      <c r="FN23" s="2665"/>
      <c r="FO23" s="2665"/>
      <c r="FP23" s="2665"/>
      <c r="FQ23" s="2665"/>
      <c r="FR23" s="2665"/>
      <c r="FS23" s="2665"/>
      <c r="FT23" s="2665"/>
      <c r="FU23" s="2665"/>
      <c r="FV23" s="2665"/>
      <c r="FW23" s="2666"/>
      <c r="FX23" s="1825"/>
      <c r="FY23" s="1065"/>
      <c r="FZ23" s="1065"/>
      <c r="GA23" s="1065"/>
      <c r="GB23" s="1065"/>
    </row>
    <row s="928" customFormat="1" customHeight="1" ht="21">
      <c r="A24" s="1327" t="s">
        <v>1027</v>
      </c>
      <c r="B24" s="943"/>
      <c r="C24" s="928"/>
      <c r="D24" s="928"/>
      <c r="E24" s="942" t="s">
        <v>22</v>
      </c>
      <c r="F24" s="1124" t="str">
        <f>INDEX(IP_MAIN_LIST_NAME_IP,MATCH(A24,IP_MAIN_LIST_IP_ID,0))&amp;" ("&amp;INDEX(IP_MAIN_START_DATE,MATCH(A24,IP_MAIN_LIST_IP_ID,0))&amp;"-"&amp;INDEX(IP_MAIN_END_DATE,MATCH(A24,IP_MAIN_LIST_IP_ID,0))&amp;")"</f>
        <v>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 (28.06.2024-31.12.2037)</v>
      </c>
      <c r="G24" s="1206"/>
      <c r="H24" s="1207"/>
      <c r="I24" s="1207"/>
      <c r="J24" s="1207"/>
      <c r="K24" s="1207"/>
      <c r="L24" s="1207"/>
      <c r="M24" s="1207"/>
      <c r="N24" s="1207"/>
      <c r="O24" s="1206"/>
      <c r="P24" s="1206"/>
      <c r="Q24" s="1206"/>
      <c r="R24" s="1206"/>
      <c r="S24" s="1206"/>
      <c r="T24" s="1206"/>
      <c r="U24" s="1208"/>
      <c r="V24" s="1208"/>
      <c r="W24" s="1208"/>
      <c r="X24" s="1208"/>
      <c r="Y24" s="1208"/>
      <c r="Z24" s="1208"/>
      <c r="AA24" s="1208"/>
      <c r="AB24" s="1206"/>
      <c r="AC24" s="1207"/>
      <c r="AD24" s="1207"/>
      <c r="AE24" s="1207"/>
      <c r="AF24" s="1207"/>
      <c r="AG24" s="1207"/>
      <c r="AH24" s="1207"/>
      <c r="AI24" s="1207"/>
      <c r="AJ24" s="1207"/>
      <c r="AK24" s="1207"/>
      <c r="AL24" s="1207"/>
      <c r="AM24" s="1207"/>
      <c r="AN24" s="1207"/>
      <c r="AO24" s="1207"/>
      <c r="AP24" s="1207"/>
      <c r="AQ24" s="1207"/>
      <c r="AR24" s="1207"/>
      <c r="AS24" s="1207"/>
      <c r="AT24" s="1207"/>
      <c r="AU24" s="1207"/>
      <c r="AV24" s="1207"/>
      <c r="AW24" s="1207"/>
      <c r="AX24" s="1207"/>
      <c r="AY24" s="1207"/>
      <c r="AZ24" s="1207"/>
      <c r="BA24" s="1207"/>
      <c r="BB24" s="1207"/>
      <c r="BC24" s="1207"/>
      <c r="BD24" s="1207"/>
      <c r="BE24" s="1207"/>
      <c r="BF24" s="1207"/>
      <c r="BG24" s="1207"/>
      <c r="BH24" s="1207"/>
      <c r="BI24" s="1207"/>
      <c r="BJ24" s="1207"/>
      <c r="BK24" s="1207"/>
      <c r="BL24" s="1207"/>
      <c r="BM24" s="1207"/>
      <c r="BN24" s="1207"/>
      <c r="BO24" s="1207"/>
      <c r="BP24" s="1207"/>
      <c r="BQ24" s="1207"/>
      <c r="BR24" s="1207"/>
      <c r="BS24" s="1207"/>
      <c r="BT24" s="1207"/>
      <c r="BU24" s="1207"/>
      <c r="BV24" s="1207"/>
      <c r="BW24" s="1207"/>
      <c r="BX24" s="1207"/>
      <c r="BY24" s="1207"/>
      <c r="BZ24" s="1207"/>
      <c r="CA24" s="1207"/>
      <c r="CB24" s="1207"/>
      <c r="CC24" s="1207"/>
      <c r="CD24" s="1207"/>
      <c r="CE24" s="1207"/>
      <c r="CF24" s="1207"/>
      <c r="CG24" s="1207"/>
      <c r="CH24" s="1207"/>
      <c r="CI24" s="1207"/>
      <c r="CJ24" s="1207"/>
      <c r="CK24" s="1207"/>
      <c r="CL24" s="1209"/>
      <c r="CM24" s="1209"/>
      <c r="CN24" s="1209"/>
      <c r="CO24" s="1209"/>
      <c r="CP24" s="1209"/>
      <c r="CQ24" s="1209"/>
      <c r="CR24" s="1209"/>
      <c r="CS24" s="1209"/>
      <c r="CT24" s="1209"/>
      <c r="CU24" s="1209"/>
      <c r="CV24" s="1209"/>
      <c r="CW24" s="1209"/>
      <c r="CX24" s="1209"/>
      <c r="CY24" s="1209"/>
      <c r="CZ24" s="1209"/>
      <c r="DA24" s="1209"/>
      <c r="DB24" s="1209"/>
      <c r="DC24" s="1209"/>
      <c r="DD24" s="1209"/>
      <c r="DE24" s="1209"/>
      <c r="DF24" s="1209"/>
      <c r="DG24" s="1209"/>
      <c r="DH24" s="1209"/>
      <c r="DI24" s="1209"/>
      <c r="DJ24" s="1209"/>
      <c r="DK24" s="1209"/>
      <c r="DL24" s="1209"/>
      <c r="DM24" s="1209"/>
      <c r="DN24" s="1209"/>
      <c r="DO24" s="1209"/>
      <c r="DP24" s="1209"/>
      <c r="DQ24" s="1209"/>
      <c r="DR24" s="1209"/>
      <c r="DS24" s="1209"/>
      <c r="DT24" s="1209"/>
      <c r="DU24" s="1209"/>
      <c r="DV24" s="1209"/>
      <c r="DW24" s="1209"/>
      <c r="DX24" s="1209"/>
      <c r="DY24" s="1209"/>
      <c r="DZ24" s="1209"/>
      <c r="EA24" s="1209"/>
      <c r="EB24" s="1209"/>
      <c r="EC24" s="1209"/>
      <c r="ED24" s="1209"/>
      <c r="EE24" s="1209"/>
      <c r="EF24" s="1209"/>
      <c r="EG24" s="1209"/>
      <c r="EH24" s="1209"/>
      <c r="EI24" s="1209"/>
      <c r="EJ24" s="1209"/>
      <c r="EK24" s="1209"/>
      <c r="EL24" s="1209"/>
      <c r="EM24" s="1209"/>
      <c r="EN24" s="1209"/>
      <c r="EO24" s="1209"/>
      <c r="EP24" s="1209"/>
      <c r="EQ24" s="1209"/>
      <c r="ER24" s="1209"/>
      <c r="ES24" s="1209"/>
      <c r="ET24" s="1209"/>
      <c r="EU24" s="1209"/>
      <c r="EV24" s="1209"/>
      <c r="EW24" s="1209"/>
      <c r="EX24" s="1209"/>
      <c r="EY24" s="1209"/>
      <c r="EZ24" s="1209"/>
      <c r="FA24" s="1209"/>
      <c r="FB24" s="1209"/>
      <c r="FC24" s="1209"/>
      <c r="FD24" s="1209"/>
      <c r="FE24" s="1209"/>
      <c r="FF24" s="1209"/>
      <c r="FG24" s="1209"/>
      <c r="FH24" s="1209"/>
      <c r="FI24" s="1209"/>
      <c r="FJ24" s="1209"/>
      <c r="FK24" s="1209"/>
      <c r="FL24" s="1209"/>
      <c r="FM24" s="1209"/>
      <c r="FN24" s="1209"/>
      <c r="FO24" s="1209"/>
      <c r="FP24" s="1209"/>
      <c r="FQ24" s="1209"/>
      <c r="FR24" s="1209"/>
      <c r="FS24" s="1209"/>
      <c r="FT24" s="1209"/>
      <c r="FU24" s="1209"/>
      <c r="FV24" s="1210"/>
      <c r="FW24" s="1204"/>
      <c r="FX24" s="1205"/>
      <c r="FY24" s="928"/>
      <c r="FZ24" s="928"/>
      <c r="GA24" s="928"/>
      <c r="GB24" s="928"/>
    </row>
    <row s="928" customFormat="1" customHeight="1" ht="24.75">
      <c r="A25" s="928" t="s">
        <v>1027</v>
      </c>
      <c r="B25" s="943"/>
      <c r="C25" s="928"/>
      <c r="D25" s="928"/>
      <c r="E25" s="1850"/>
      <c r="F25" s="2411">
        <v>1</v>
      </c>
      <c r="G25" s="2584" t="s">
        <v>1007</v>
      </c>
      <c r="H25" s="1213" t="s">
        <v>1170</v>
      </c>
      <c r="I25" s="1982" t="s">
        <v>1171</v>
      </c>
      <c r="J25" s="1214"/>
      <c r="K25" s="1214"/>
      <c r="L25" s="1214"/>
      <c r="M25" s="1214"/>
      <c r="N25" s="1214"/>
      <c r="O25" s="1215"/>
      <c r="P25" s="1215"/>
      <c r="Q25" s="1215"/>
      <c r="R25" s="1215"/>
      <c r="S25" s="1215"/>
      <c r="T25" s="1215"/>
      <c r="U25" s="1215"/>
      <c r="V25" s="1215"/>
      <c r="W25" s="1215"/>
      <c r="X25" s="1215"/>
      <c r="Y25" s="1215"/>
      <c r="Z25" s="1215"/>
      <c r="AA25" s="1215"/>
      <c r="AB25" s="1215"/>
      <c r="AC25" s="1214"/>
      <c r="AD25" s="1214"/>
      <c r="AE25" s="1214"/>
      <c r="AF25" s="1214"/>
      <c r="AG25" s="1214"/>
      <c r="AH25" s="1214"/>
      <c r="AI25" s="1214"/>
      <c r="AJ25" s="1214"/>
      <c r="AK25" s="1214"/>
      <c r="AL25" s="1214"/>
      <c r="AM25" s="1214"/>
      <c r="AN25" s="1214"/>
      <c r="AO25" s="1214"/>
      <c r="AP25" s="1214"/>
      <c r="AQ25" s="1214"/>
      <c r="AR25" s="1214"/>
      <c r="AS25" s="1214"/>
      <c r="AT25" s="1214"/>
      <c r="AU25" s="1214"/>
      <c r="AV25" s="1214"/>
      <c r="AW25" s="1214"/>
      <c r="AX25" s="1214"/>
      <c r="AY25" s="1214"/>
      <c r="AZ25" s="1214"/>
      <c r="BA25" s="1214"/>
      <c r="BB25" s="1214"/>
      <c r="BC25" s="1214"/>
      <c r="BD25" s="1214"/>
      <c r="BE25" s="1214"/>
      <c r="BF25" s="1214"/>
      <c r="BG25" s="1214"/>
      <c r="BH25" s="1214"/>
      <c r="BI25" s="1214"/>
      <c r="BJ25" s="1214"/>
      <c r="BK25" s="1214"/>
      <c r="BL25" s="1214"/>
      <c r="BM25" s="1214"/>
      <c r="BN25" s="1214"/>
      <c r="BO25" s="1214"/>
      <c r="BP25" s="1214"/>
      <c r="BQ25" s="1214"/>
      <c r="BR25" s="1214"/>
      <c r="BS25" s="1214"/>
      <c r="BT25" s="1215">
        <v>0</v>
      </c>
      <c r="BU25" s="1215">
        <v>5</v>
      </c>
      <c r="BV25" s="1215">
        <v>0.05</v>
      </c>
      <c r="BW25" s="1215">
        <v>1</v>
      </c>
      <c r="BX25" s="1215"/>
      <c r="BY25" s="1215"/>
      <c r="BZ25" s="1215"/>
      <c r="CA25" s="1215"/>
      <c r="CB25" s="1215">
        <v>0.09</v>
      </c>
      <c r="CC25" s="1215">
        <v>0.05</v>
      </c>
      <c r="CD25" s="1215">
        <v>18.63</v>
      </c>
      <c r="CE25" s="1215">
        <v>20.4</v>
      </c>
      <c r="CF25" s="1215"/>
      <c r="CG25" s="1215"/>
      <c r="CH25" s="1215">
        <v>0.38</v>
      </c>
      <c r="CI25" s="1215">
        <v>0.68</v>
      </c>
      <c r="CJ25" s="1215">
        <v>0.22</v>
      </c>
      <c r="CK25" s="1215">
        <v>0.08</v>
      </c>
      <c r="CL25" s="1214"/>
      <c r="CM25" s="1214"/>
      <c r="CN25" s="1214"/>
      <c r="CO25" s="1214"/>
      <c r="CP25" s="1214"/>
      <c r="CQ25" s="1214"/>
      <c r="CR25" s="1214"/>
      <c r="CS25" s="1214"/>
      <c r="CT25" s="1214"/>
      <c r="CU25" s="1214"/>
      <c r="CV25" s="1214"/>
      <c r="CW25" s="1214"/>
      <c r="CX25" s="1214"/>
      <c r="CY25" s="1215"/>
      <c r="CZ25" s="1215"/>
      <c r="DA25" s="1215"/>
      <c r="DB25" s="1215"/>
      <c r="DC25" s="1215"/>
      <c r="DD25" s="1215"/>
      <c r="DE25" s="1215"/>
      <c r="DF25" s="1215"/>
      <c r="DG25" s="1215"/>
      <c r="DH25" s="1215"/>
      <c r="DI25" s="1215"/>
      <c r="DJ25" s="1215"/>
      <c r="DK25" s="1214"/>
      <c r="DL25" s="1214"/>
      <c r="DM25" s="1214"/>
      <c r="DN25" s="1214"/>
      <c r="DO25" s="1214"/>
      <c r="DP25" s="1214"/>
      <c r="DQ25" s="1214"/>
      <c r="DR25" s="1214"/>
      <c r="DS25" s="1214"/>
      <c r="DT25" s="1214"/>
      <c r="DU25" s="1214"/>
      <c r="DV25" s="1214"/>
      <c r="DW25" s="1214"/>
      <c r="DX25" s="1214"/>
      <c r="DY25" s="1214"/>
      <c r="DZ25" s="1214"/>
      <c r="EA25" s="1214"/>
      <c r="EB25" s="1214"/>
      <c r="EC25" s="1214"/>
      <c r="ED25" s="1214"/>
      <c r="EE25" s="1214"/>
      <c r="EF25" s="1214"/>
      <c r="EG25" s="1214"/>
      <c r="EH25" s="1214"/>
      <c r="EI25" s="1214"/>
      <c r="EJ25" s="1214"/>
      <c r="EK25" s="1214"/>
      <c r="EL25" s="1214"/>
      <c r="EM25" s="1214"/>
      <c r="EN25" s="1214"/>
      <c r="EO25" s="1214"/>
      <c r="EP25" s="1214"/>
      <c r="EQ25" s="1214"/>
      <c r="ER25" s="1214"/>
      <c r="ES25" s="1214"/>
      <c r="ET25" s="1214"/>
      <c r="EU25" s="1214"/>
      <c r="EV25" s="1214"/>
      <c r="EW25" s="1214"/>
      <c r="EX25" s="1214"/>
      <c r="EY25" s="1214"/>
      <c r="EZ25" s="1214"/>
      <c r="FA25" s="1214"/>
      <c r="FB25" s="1214"/>
      <c r="FC25" s="1214"/>
      <c r="FD25" s="1214"/>
      <c r="FE25" s="1214"/>
      <c r="FF25" s="1214"/>
      <c r="FG25" s="1214"/>
      <c r="FH25" s="1214"/>
      <c r="FI25" s="1214"/>
      <c r="FJ25" s="1214"/>
      <c r="FK25" s="1214"/>
      <c r="FL25" s="1214"/>
      <c r="FM25" s="1214"/>
      <c r="FN25" s="1214"/>
      <c r="FO25" s="1214"/>
      <c r="FP25" s="1214"/>
      <c r="FQ25" s="1214"/>
      <c r="FR25" s="1214"/>
      <c r="FS25" s="1214"/>
      <c r="FT25" s="1214"/>
      <c r="FU25" s="1214"/>
      <c r="FV25" s="1214"/>
      <c r="FW25" s="1214"/>
      <c r="FX25" s="1205"/>
      <c r="FY25" s="928"/>
      <c r="FZ25" s="928"/>
      <c r="GA25" s="928"/>
      <c r="GB25" s="928"/>
    </row>
    <row s="928" customFormat="1" customHeight="1" ht="12">
      <c r="A26" s="928" t="s">
        <v>1027</v>
      </c>
      <c r="B26" s="943"/>
      <c r="C26" s="928"/>
      <c r="D26" s="928"/>
      <c r="E26" s="928"/>
      <c r="F26" s="2663"/>
      <c r="G26" s="2667" t="s">
        <v>1172</v>
      </c>
      <c r="H26" s="2665"/>
      <c r="I26" s="2665"/>
      <c r="J26" s="2665"/>
      <c r="K26" s="2665"/>
      <c r="L26" s="2665"/>
      <c r="M26" s="2665"/>
      <c r="N26" s="2665"/>
      <c r="O26" s="2665"/>
      <c r="P26" s="2665"/>
      <c r="Q26" s="2665"/>
      <c r="R26" s="2665"/>
      <c r="S26" s="2665"/>
      <c r="T26" s="2665"/>
      <c r="U26" s="2665"/>
      <c r="V26" s="2665"/>
      <c r="W26" s="2665"/>
      <c r="X26" s="2665"/>
      <c r="Y26" s="2665"/>
      <c r="Z26" s="2665"/>
      <c r="AA26" s="2665"/>
      <c r="AB26" s="2665"/>
      <c r="AC26" s="2665"/>
      <c r="AD26" s="2665"/>
      <c r="AE26" s="2665"/>
      <c r="AF26" s="2665"/>
      <c r="AG26" s="2665"/>
      <c r="AH26" s="2665"/>
      <c r="AI26" s="2665"/>
      <c r="AJ26" s="2665"/>
      <c r="AK26" s="2665"/>
      <c r="AL26" s="2665"/>
      <c r="AM26" s="2665"/>
      <c r="AN26" s="2665"/>
      <c r="AO26" s="2665"/>
      <c r="AP26" s="2665"/>
      <c r="AQ26" s="2665"/>
      <c r="AR26" s="2665"/>
      <c r="AS26" s="2665"/>
      <c r="AT26" s="2665"/>
      <c r="AU26" s="2665"/>
      <c r="AV26" s="2665"/>
      <c r="AW26" s="2665"/>
      <c r="AX26" s="2665"/>
      <c r="AY26" s="2665"/>
      <c r="AZ26" s="2665"/>
      <c r="BA26" s="2665"/>
      <c r="BB26" s="2665"/>
      <c r="BC26" s="2665"/>
      <c r="BD26" s="2665"/>
      <c r="BE26" s="2665"/>
      <c r="BF26" s="2665"/>
      <c r="BG26" s="2665"/>
      <c r="BH26" s="2665"/>
      <c r="BI26" s="2665"/>
      <c r="BJ26" s="2665"/>
      <c r="BK26" s="2665"/>
      <c r="BL26" s="2665"/>
      <c r="BM26" s="2665"/>
      <c r="BN26" s="2665"/>
      <c r="BO26" s="2665"/>
      <c r="BP26" s="2665"/>
      <c r="BQ26" s="2665"/>
      <c r="BR26" s="2665"/>
      <c r="BS26" s="2665"/>
      <c r="BT26" s="2665"/>
      <c r="BU26" s="2665"/>
      <c r="BV26" s="2665"/>
      <c r="BW26" s="2665"/>
      <c r="BX26" s="2665"/>
      <c r="BY26" s="2665"/>
      <c r="BZ26" s="2665"/>
      <c r="CA26" s="2665"/>
      <c r="CB26" s="2665"/>
      <c r="CC26" s="2665"/>
      <c r="CD26" s="2665"/>
      <c r="CE26" s="2665"/>
      <c r="CF26" s="2665"/>
      <c r="CG26" s="2665"/>
      <c r="CH26" s="2665"/>
      <c r="CI26" s="2665"/>
      <c r="CJ26" s="2665"/>
      <c r="CK26" s="2665"/>
      <c r="CL26" s="2665"/>
      <c r="CM26" s="2665"/>
      <c r="CN26" s="2665"/>
      <c r="CO26" s="2665"/>
      <c r="CP26" s="2665"/>
      <c r="CQ26" s="2665"/>
      <c r="CR26" s="2665"/>
      <c r="CS26" s="2665"/>
      <c r="CT26" s="2665"/>
      <c r="CU26" s="2665"/>
      <c r="CV26" s="2665"/>
      <c r="CW26" s="2665"/>
      <c r="CX26" s="2665"/>
      <c r="CY26" s="2665"/>
      <c r="CZ26" s="2665"/>
      <c r="DA26" s="2665"/>
      <c r="DB26" s="2665"/>
      <c r="DC26" s="2665"/>
      <c r="DD26" s="2665"/>
      <c r="DE26" s="2665"/>
      <c r="DF26" s="2665"/>
      <c r="DG26" s="2665"/>
      <c r="DH26" s="2665"/>
      <c r="DI26" s="2665"/>
      <c r="DJ26" s="2665"/>
      <c r="DK26" s="2665"/>
      <c r="DL26" s="2665"/>
      <c r="DM26" s="2665"/>
      <c r="DN26" s="2665"/>
      <c r="DO26" s="2665"/>
      <c r="DP26" s="2665"/>
      <c r="DQ26" s="2665"/>
      <c r="DR26" s="2665"/>
      <c r="DS26" s="2665"/>
      <c r="DT26" s="2665"/>
      <c r="DU26" s="2665"/>
      <c r="DV26" s="2665"/>
      <c r="DW26" s="2665"/>
      <c r="DX26" s="2665"/>
      <c r="DY26" s="2665"/>
      <c r="DZ26" s="2665"/>
      <c r="EA26" s="2665"/>
      <c r="EB26" s="2665"/>
      <c r="EC26" s="2665"/>
      <c r="ED26" s="2665"/>
      <c r="EE26" s="2665"/>
      <c r="EF26" s="2665"/>
      <c r="EG26" s="2665"/>
      <c r="EH26" s="2665"/>
      <c r="EI26" s="2665"/>
      <c r="EJ26" s="2665"/>
      <c r="EK26" s="2665"/>
      <c r="EL26" s="2665"/>
      <c r="EM26" s="2665"/>
      <c r="EN26" s="2665"/>
      <c r="EO26" s="2665"/>
      <c r="EP26" s="2665"/>
      <c r="EQ26" s="2665"/>
      <c r="ER26" s="2665"/>
      <c r="ES26" s="2665"/>
      <c r="ET26" s="2665"/>
      <c r="EU26" s="2665"/>
      <c r="EV26" s="2665"/>
      <c r="EW26" s="2665"/>
      <c r="EX26" s="2665"/>
      <c r="EY26" s="2665"/>
      <c r="EZ26" s="2665"/>
      <c r="FA26" s="2665"/>
      <c r="FB26" s="2665"/>
      <c r="FC26" s="2665"/>
      <c r="FD26" s="2665"/>
      <c r="FE26" s="2665"/>
      <c r="FF26" s="2665"/>
      <c r="FG26" s="2665"/>
      <c r="FH26" s="2665"/>
      <c r="FI26" s="2665"/>
      <c r="FJ26" s="2665"/>
      <c r="FK26" s="2665"/>
      <c r="FL26" s="2665"/>
      <c r="FM26" s="2665"/>
      <c r="FN26" s="2665"/>
      <c r="FO26" s="2665"/>
      <c r="FP26" s="2665"/>
      <c r="FQ26" s="2665"/>
      <c r="FR26" s="2665"/>
      <c r="FS26" s="2665"/>
      <c r="FT26" s="2665"/>
      <c r="FU26" s="2665"/>
      <c r="FV26" s="2665"/>
      <c r="FW26" s="2666"/>
      <c r="FX26" s="1825"/>
      <c r="FY26" s="1065"/>
      <c r="FZ26" s="1065"/>
      <c r="GA26" s="1065"/>
      <c r="GB26" s="1065"/>
    </row>
    <row s="928" customFormat="1" customHeight="1" ht="12.75">
      <c r="A27" s="944"/>
      <c r="B27" s="944"/>
      <c r="C27" s="944"/>
      <c r="D27" s="944"/>
      <c r="E27" s="944"/>
      <c r="F27" s="942"/>
      <c r="G27" s="942"/>
      <c r="H27" s="942"/>
      <c r="I27" s="942"/>
      <c r="J27" s="942"/>
      <c r="K27" s="942"/>
      <c r="L27" s="942"/>
      <c r="M27" s="942"/>
      <c r="N27" s="942"/>
      <c r="O27" s="942"/>
      <c r="P27" s="942"/>
      <c r="Q27" s="942"/>
      <c r="R27" s="942"/>
      <c r="S27" s="945"/>
      <c r="T27" s="945"/>
      <c r="U27" s="942"/>
      <c r="V27" s="942"/>
      <c r="W27" s="942"/>
      <c r="X27" s="942"/>
      <c r="Y27" s="942"/>
      <c r="Z27" s="942"/>
      <c r="AA27" s="942"/>
      <c r="AB27" s="942"/>
      <c r="AC27" s="942"/>
      <c r="AD27" s="942"/>
      <c r="AE27" s="942"/>
      <c r="AF27" s="942"/>
      <c r="AG27" s="942"/>
      <c r="AH27" s="942"/>
      <c r="AI27" s="942"/>
      <c r="AJ27" s="942"/>
      <c r="AK27" s="942"/>
      <c r="AL27" s="942"/>
      <c r="AM27" s="942"/>
      <c r="AN27" s="942"/>
      <c r="AO27" s="942"/>
      <c r="AP27" s="942"/>
      <c r="AQ27" s="942"/>
      <c r="AR27" s="942"/>
      <c r="AS27" s="942"/>
      <c r="AT27" s="942"/>
      <c r="AU27" s="942"/>
      <c r="AV27" s="942"/>
      <c r="AW27" s="942"/>
      <c r="AX27" s="942"/>
      <c r="AY27" s="942"/>
      <c r="AZ27" s="942"/>
      <c r="BA27" s="942"/>
      <c r="BB27" s="942"/>
      <c r="BC27" s="942"/>
      <c r="BD27" s="942"/>
      <c r="BE27" s="942"/>
      <c r="BF27" s="942"/>
      <c r="BG27" s="942"/>
      <c r="BH27" s="942"/>
      <c r="BI27" s="942"/>
      <c r="BJ27" s="942"/>
      <c r="BK27" s="942"/>
      <c r="BL27" s="942"/>
      <c r="BM27" s="942"/>
      <c r="BN27" s="942"/>
      <c r="BO27" s="942"/>
      <c r="BP27" s="942"/>
      <c r="BQ27" s="942"/>
      <c r="BR27" s="942"/>
      <c r="BS27" s="942"/>
      <c r="BT27" s="942"/>
      <c r="BU27" s="942"/>
      <c r="BV27" s="942"/>
      <c r="BW27" s="942"/>
      <c r="BX27" s="942"/>
      <c r="BY27" s="942"/>
      <c r="BZ27" s="942"/>
      <c r="CA27" s="942"/>
      <c r="CB27" s="942"/>
      <c r="CC27" s="942"/>
      <c r="CD27" s="942"/>
      <c r="CE27" s="942"/>
      <c r="CF27" s="942"/>
      <c r="CG27" s="942"/>
      <c r="CH27" s="942"/>
      <c r="CI27" s="942"/>
      <c r="CJ27" s="942"/>
      <c r="CK27" s="942"/>
      <c r="CL27" s="942"/>
      <c r="CM27" s="942"/>
      <c r="CN27" s="942"/>
      <c r="CO27" s="942"/>
      <c r="CP27" s="942"/>
      <c r="CQ27" s="942"/>
      <c r="CR27" s="942"/>
      <c r="CS27" s="942"/>
      <c r="CT27" s="942"/>
      <c r="CU27" s="942"/>
      <c r="CV27" s="942"/>
      <c r="CW27" s="942"/>
      <c r="CX27" s="942"/>
      <c r="CY27" s="942"/>
      <c r="CZ27" s="942"/>
      <c r="DA27" s="942"/>
      <c r="DB27" s="942"/>
      <c r="DC27" s="942"/>
      <c r="DD27" s="942"/>
      <c r="DE27" s="942"/>
      <c r="DF27" s="942"/>
      <c r="DG27" s="942"/>
      <c r="DH27" s="942"/>
      <c r="DI27" s="942"/>
      <c r="DJ27" s="942"/>
      <c r="DK27" s="942"/>
      <c r="DL27" s="942"/>
      <c r="DM27" s="942"/>
      <c r="DN27" s="942"/>
      <c r="DO27" s="942"/>
      <c r="DP27" s="942"/>
      <c r="DQ27" s="942"/>
      <c r="DR27" s="942"/>
      <c r="DS27" s="942"/>
      <c r="DT27" s="942"/>
      <c r="DU27" s="942"/>
      <c r="DV27" s="942"/>
      <c r="DW27" s="942"/>
      <c r="DX27" s="942"/>
      <c r="DY27" s="942"/>
      <c r="DZ27" s="942"/>
      <c r="EA27" s="942"/>
      <c r="EB27" s="942"/>
      <c r="EC27" s="942"/>
      <c r="ED27" s="942"/>
      <c r="EE27" s="942"/>
      <c r="EF27" s="942"/>
      <c r="EG27" s="942"/>
      <c r="EH27" s="942"/>
      <c r="EI27" s="942"/>
      <c r="EJ27" s="942"/>
      <c r="EK27" s="942"/>
      <c r="EL27" s="942"/>
      <c r="EM27" s="942"/>
      <c r="EN27" s="942"/>
      <c r="EO27" s="942"/>
      <c r="EP27" s="942"/>
      <c r="EQ27" s="942"/>
      <c r="ER27" s="942"/>
      <c r="ES27" s="942"/>
      <c r="ET27" s="942"/>
      <c r="EU27" s="942"/>
      <c r="EV27" s="942"/>
      <c r="EW27" s="942"/>
      <c r="EX27" s="942"/>
      <c r="EY27" s="942"/>
      <c r="EZ27" s="942"/>
      <c r="FA27" s="942"/>
      <c r="FB27" s="942"/>
      <c r="FC27" s="942"/>
      <c r="FD27" s="942"/>
      <c r="FE27" s="942"/>
      <c r="FF27" s="942"/>
      <c r="FG27" s="942"/>
      <c r="FH27" s="942"/>
      <c r="FI27" s="942"/>
      <c r="FJ27" s="942"/>
      <c r="FK27" s="942"/>
      <c r="FL27" s="942"/>
      <c r="FM27" s="942"/>
      <c r="FN27" s="942"/>
      <c r="FO27" s="942"/>
      <c r="FP27" s="942"/>
      <c r="FQ27" s="942"/>
      <c r="FR27" s="942"/>
      <c r="FS27" s="942"/>
      <c r="FT27" s="942"/>
      <c r="FU27" s="942"/>
      <c r="FV27" s="942"/>
      <c r="FW27" s="942"/>
      <c r="FX27" s="944"/>
      <c r="FY27" s="944"/>
      <c r="FZ27" s="944"/>
      <c r="GA27" s="944"/>
      <c r="GB27" s="944"/>
      <c r="GC27" s="925">
        <v>12</v>
      </c>
    </row>
    <row s="928" customFormat="1" customHeight="1" ht="12.75">
      <c r="A28" s="944"/>
      <c r="B28" s="944"/>
      <c r="C28" s="944"/>
      <c r="D28" s="944"/>
      <c r="E28" s="944"/>
      <c r="FX28" s="944"/>
      <c r="FY28" s="944"/>
      <c r="FZ28" s="944"/>
      <c r="GA28" s="944"/>
      <c r="GB28" s="944"/>
      <c r="GC28" s="925">
        <v>12</v>
      </c>
    </row>
    <row s="1066" customFormat="1" customHeight="1" ht="12.75">
      <c r="A29" s="1065"/>
      <c r="B29" s="1065"/>
      <c r="C29" s="1065"/>
      <c r="D29" s="1065"/>
      <c r="E29" s="1065"/>
      <c r="O29" s="1067"/>
      <c r="P29" s="1067"/>
      <c r="Q29" s="1067"/>
      <c r="R29" s="1067"/>
      <c r="S29" s="1067"/>
      <c r="T29" s="1067"/>
      <c r="U29" s="1067"/>
      <c r="V29" s="1067"/>
      <c r="W29" s="1067"/>
      <c r="X29" s="1067"/>
      <c r="Y29" s="1067"/>
      <c r="Z29" s="1067"/>
      <c r="AA29" s="1067"/>
      <c r="AB29" s="1067"/>
      <c r="AC29" s="1067"/>
      <c r="AD29" s="1067"/>
      <c r="AE29" s="1067"/>
      <c r="AF29" s="1067"/>
      <c r="AG29" s="1067"/>
      <c r="AH29" s="1067"/>
      <c r="AI29" s="1067"/>
      <c r="AJ29" s="1067"/>
      <c r="AK29" s="1067"/>
      <c r="AL29" s="1067"/>
      <c r="AM29" s="1067"/>
      <c r="AN29" s="1067"/>
      <c r="AO29" s="1067"/>
      <c r="AP29" s="1067"/>
      <c r="AQ29" s="1067"/>
      <c r="AR29" s="1067"/>
      <c r="AS29" s="1067"/>
      <c r="AT29" s="1067"/>
      <c r="AU29" s="1067"/>
      <c r="AV29" s="1067"/>
      <c r="AW29" s="1067"/>
      <c r="AX29" s="1067"/>
      <c r="AY29" s="1067"/>
      <c r="AZ29" s="1067"/>
      <c r="BA29" s="1067"/>
      <c r="BB29" s="1067"/>
      <c r="BC29" s="1067"/>
      <c r="BD29" s="1067"/>
      <c r="BE29" s="1067"/>
      <c r="BF29" s="1067"/>
      <c r="BG29" s="1067"/>
      <c r="BH29" s="1067"/>
      <c r="BI29" s="1067"/>
      <c r="BJ29" s="1067"/>
      <c r="BK29" s="1067"/>
      <c r="BL29" s="1067"/>
      <c r="BM29" s="1067"/>
      <c r="BN29" s="1067"/>
      <c r="BO29" s="1067"/>
      <c r="BP29" s="1067"/>
      <c r="BQ29" s="1067"/>
      <c r="BR29" s="1067"/>
      <c r="BS29" s="1067"/>
      <c r="BT29" s="1068"/>
      <c r="BU29" s="1068"/>
      <c r="BV29" s="1068"/>
      <c r="BW29" s="1068"/>
      <c r="BX29" s="1068"/>
      <c r="BY29" s="1068"/>
      <c r="BZ29" s="1068"/>
      <c r="CA29" s="1068"/>
      <c r="CB29" s="1068"/>
      <c r="CC29" s="1068"/>
      <c r="CD29" s="1068"/>
      <c r="CE29" s="1068"/>
      <c r="CF29" s="1068"/>
      <c r="CG29" s="1068"/>
      <c r="CH29" s="1068"/>
      <c r="CI29" s="1068"/>
      <c r="CJ29" s="1068"/>
      <c r="CK29" s="1068"/>
      <c r="CL29" s="1068"/>
      <c r="CM29" s="1068"/>
      <c r="CN29" s="1068"/>
      <c r="CO29" s="1068"/>
      <c r="CP29" s="1068"/>
      <c r="CQ29" s="1068"/>
      <c r="CR29" s="1068"/>
      <c r="CS29" s="1068"/>
      <c r="CT29" s="1068"/>
      <c r="CU29" s="1068"/>
      <c r="CV29" s="1068"/>
      <c r="CW29" s="1068"/>
      <c r="CX29" s="1068"/>
      <c r="CY29" s="1068"/>
      <c r="CZ29" s="1068"/>
      <c r="DA29" s="1068"/>
      <c r="DB29" s="1068"/>
      <c r="DC29" s="1068"/>
      <c r="DD29" s="1068"/>
      <c r="DE29" s="1068"/>
      <c r="DF29" s="1068"/>
      <c r="DG29" s="1068"/>
      <c r="DH29" s="1068"/>
      <c r="DI29" s="1068"/>
      <c r="DJ29" s="1068"/>
      <c r="DK29" s="1068"/>
      <c r="DL29" s="1068"/>
      <c r="DM29" s="1068"/>
      <c r="DN29" s="1068"/>
      <c r="DO29" s="1068"/>
      <c r="DP29" s="1068"/>
      <c r="DQ29" s="1068"/>
      <c r="DR29" s="1068"/>
      <c r="DS29" s="1068"/>
      <c r="DT29" s="1068"/>
      <c r="DU29" s="1068"/>
      <c r="DV29" s="1068"/>
      <c r="DW29" s="1068"/>
      <c r="DX29" s="1068"/>
      <c r="FX29" s="1065"/>
      <c r="FY29" s="1065"/>
      <c r="FZ29" s="1065"/>
      <c r="GA29" s="1065"/>
      <c r="GB29" s="1065"/>
      <c r="GC29" s="1066">
        <v>12</v>
      </c>
    </row>
    <row customHeight="1" ht="12.75">
      <c r="S30" s="941"/>
      <c r="T30" s="941"/>
      <c r="U30" s="941"/>
      <c r="V30" s="941"/>
      <c r="W30" s="941"/>
      <c r="X30" s="941"/>
      <c r="Y30" s="941"/>
      <c r="Z30" s="941"/>
      <c r="AA30" s="941"/>
      <c r="AB30" s="941"/>
      <c r="FX30" s="941"/>
      <c r="FY30" s="941"/>
      <c r="FZ30" s="941"/>
      <c r="GA30" s="941"/>
      <c r="GB30" s="941"/>
      <c r="GC30" s="929">
        <v>12</v>
      </c>
    </row>
    <row customHeight="1" ht="12" hidden="1">
      <c r="A31" s="929" t="s">
        <v>82</v>
      </c>
      <c r="B31" s="939">
        <v>0</v>
      </c>
      <c r="C31" s="929">
        <v>0</v>
      </c>
      <c r="D31" s="929">
        <v>0</v>
      </c>
      <c r="E31" s="929">
        <v>3</v>
      </c>
      <c r="F31" s="929">
        <v>6</v>
      </c>
      <c r="G31" s="929">
        <v>18</v>
      </c>
      <c r="H31" s="929">
        <v>27</v>
      </c>
      <c r="I31" s="929">
        <v>18</v>
      </c>
      <c r="J31" s="929">
        <v>0</v>
      </c>
      <c r="K31" s="929">
        <v>0</v>
      </c>
      <c r="L31" s="929">
        <v>0</v>
      </c>
      <c r="M31" s="929">
        <v>0</v>
      </c>
      <c r="N31" s="929">
        <v>0</v>
      </c>
      <c r="O31" s="929">
        <v>0</v>
      </c>
      <c r="P31" s="929">
        <v>0</v>
      </c>
      <c r="Q31" s="929">
        <v>0</v>
      </c>
      <c r="R31" s="929">
        <v>0</v>
      </c>
      <c r="S31" s="929">
        <v>0</v>
      </c>
      <c r="T31" s="929">
        <v>0</v>
      </c>
      <c r="U31" s="929">
        <v>0</v>
      </c>
      <c r="V31" s="929">
        <v>0</v>
      </c>
      <c r="W31" s="929">
        <v>0</v>
      </c>
      <c r="X31" s="929">
        <v>0</v>
      </c>
      <c r="Y31" s="929">
        <v>0</v>
      </c>
      <c r="Z31" s="929">
        <v>0</v>
      </c>
      <c r="AA31" s="929">
        <v>0</v>
      </c>
      <c r="AB31" s="929">
        <v>0</v>
      </c>
      <c r="AC31" s="929">
        <v>0</v>
      </c>
      <c r="AD31" s="929">
        <v>0</v>
      </c>
      <c r="AE31" s="929">
        <v>0</v>
      </c>
      <c r="AF31" s="929">
        <v>0</v>
      </c>
      <c r="AG31" s="929">
        <v>0</v>
      </c>
      <c r="AH31" s="929">
        <v>0</v>
      </c>
      <c r="AI31" s="929">
        <v>0</v>
      </c>
      <c r="AJ31" s="929">
        <v>0</v>
      </c>
      <c r="AK31" s="929">
        <v>0</v>
      </c>
      <c r="AL31" s="929">
        <v>0</v>
      </c>
      <c r="AM31" s="929">
        <v>0</v>
      </c>
      <c r="AN31" s="929">
        <v>0</v>
      </c>
      <c r="AO31" s="929">
        <v>0</v>
      </c>
      <c r="AP31" s="929">
        <v>0</v>
      </c>
      <c r="AQ31" s="929">
        <v>0</v>
      </c>
      <c r="AR31" s="929">
        <v>0</v>
      </c>
      <c r="AS31" s="929">
        <v>0</v>
      </c>
      <c r="AT31" s="929">
        <v>0</v>
      </c>
      <c r="AU31" s="929">
        <v>0</v>
      </c>
      <c r="AV31" s="929">
        <v>0</v>
      </c>
      <c r="AW31" s="929">
        <v>0</v>
      </c>
      <c r="AX31" s="929">
        <v>0</v>
      </c>
      <c r="AY31" s="929">
        <v>0</v>
      </c>
      <c r="AZ31" s="929">
        <v>0</v>
      </c>
      <c r="BA31" s="929">
        <v>0</v>
      </c>
      <c r="BB31" s="929">
        <v>0</v>
      </c>
      <c r="BC31" s="929">
        <v>0</v>
      </c>
      <c r="BD31" s="929">
        <v>0</v>
      </c>
      <c r="BE31" s="929">
        <v>0</v>
      </c>
      <c r="BF31" s="929">
        <v>0</v>
      </c>
      <c r="BG31" s="929">
        <v>0</v>
      </c>
      <c r="BH31" s="929">
        <v>0</v>
      </c>
      <c r="BI31" s="929">
        <v>0</v>
      </c>
      <c r="BJ31" s="929">
        <v>0</v>
      </c>
      <c r="BK31" s="929">
        <v>0</v>
      </c>
      <c r="BL31" s="929">
        <v>0</v>
      </c>
      <c r="BM31" s="929">
        <v>0</v>
      </c>
      <c r="BN31" s="929">
        <v>0</v>
      </c>
      <c r="BO31" s="929">
        <v>0</v>
      </c>
      <c r="BP31" s="929">
        <v>0</v>
      </c>
      <c r="BQ31" s="929">
        <v>0</v>
      </c>
      <c r="BR31" s="929">
        <v>0</v>
      </c>
      <c r="BS31" s="929">
        <v>0</v>
      </c>
      <c r="BT31" s="929">
        <v>0</v>
      </c>
      <c r="BU31" s="929">
        <v>0</v>
      </c>
      <c r="BV31" s="929">
        <v>0</v>
      </c>
      <c r="BW31" s="929">
        <v>0</v>
      </c>
      <c r="BX31" s="929">
        <v>0</v>
      </c>
      <c r="BY31" s="929">
        <v>0</v>
      </c>
      <c r="BZ31" s="929">
        <v>0</v>
      </c>
      <c r="CA31" s="929">
        <v>0</v>
      </c>
      <c r="CB31" s="929">
        <v>0</v>
      </c>
      <c r="CC31" s="929">
        <v>0</v>
      </c>
      <c r="CD31" s="929">
        <v>0</v>
      </c>
      <c r="CE31" s="929">
        <v>0</v>
      </c>
      <c r="CF31" s="929">
        <v>0</v>
      </c>
      <c r="CG31" s="929">
        <v>0</v>
      </c>
      <c r="CH31" s="929">
        <v>0</v>
      </c>
      <c r="CI31" s="929">
        <v>0</v>
      </c>
      <c r="CJ31" s="929">
        <v>0</v>
      </c>
      <c r="CK31" s="929">
        <v>0</v>
      </c>
      <c r="CL31" s="929">
        <v>0</v>
      </c>
      <c r="CM31" s="929">
        <v>0</v>
      </c>
      <c r="CN31" s="929">
        <v>0</v>
      </c>
      <c r="CO31" s="929">
        <v>0</v>
      </c>
      <c r="CP31" s="929">
        <v>0</v>
      </c>
      <c r="CQ31" s="929">
        <v>0</v>
      </c>
      <c r="CR31" s="929">
        <v>0</v>
      </c>
      <c r="CS31" s="929">
        <v>0</v>
      </c>
      <c r="CT31" s="929">
        <v>0</v>
      </c>
      <c r="CU31" s="929">
        <v>0</v>
      </c>
      <c r="CV31" s="929">
        <v>0</v>
      </c>
      <c r="CW31" s="929">
        <v>0</v>
      </c>
      <c r="CX31" s="929">
        <v>0</v>
      </c>
      <c r="CY31" s="929">
        <v>0</v>
      </c>
      <c r="CZ31" s="929">
        <v>0</v>
      </c>
      <c r="DA31" s="929">
        <v>0</v>
      </c>
      <c r="DB31" s="929">
        <v>0</v>
      </c>
      <c r="DC31" s="929">
        <v>0</v>
      </c>
      <c r="DD31" s="929">
        <v>0</v>
      </c>
      <c r="DE31" s="929">
        <v>0</v>
      </c>
      <c r="DF31" s="929">
        <v>0</v>
      </c>
      <c r="DG31" s="929">
        <v>0</v>
      </c>
      <c r="DH31" s="929">
        <v>0</v>
      </c>
      <c r="DI31" s="929">
        <v>0</v>
      </c>
      <c r="DJ31" s="929">
        <v>0</v>
      </c>
      <c r="DK31" s="929">
        <v>0</v>
      </c>
      <c r="DL31" s="929">
        <v>0</v>
      </c>
      <c r="DM31" s="929">
        <v>0</v>
      </c>
      <c r="DN31" s="929">
        <v>0</v>
      </c>
      <c r="DO31" s="929">
        <v>0</v>
      </c>
      <c r="DP31" s="929">
        <v>0</v>
      </c>
      <c r="DQ31" s="929">
        <v>0</v>
      </c>
      <c r="DR31" s="929">
        <v>0</v>
      </c>
      <c r="DS31" s="929">
        <v>0</v>
      </c>
      <c r="DT31" s="929">
        <v>0</v>
      </c>
      <c r="DU31" s="929">
        <v>0</v>
      </c>
      <c r="DV31" s="929">
        <v>0</v>
      </c>
      <c r="DW31" s="929">
        <v>0</v>
      </c>
      <c r="DX31" s="929">
        <v>0</v>
      </c>
      <c r="DY31" s="929">
        <v>0</v>
      </c>
      <c r="DZ31" s="929">
        <v>0</v>
      </c>
      <c r="EA31" s="929">
        <v>0</v>
      </c>
      <c r="EB31" s="929">
        <v>0</v>
      </c>
      <c r="EC31" s="929">
        <v>0</v>
      </c>
      <c r="ED31" s="929">
        <v>0</v>
      </c>
      <c r="EE31" s="929">
        <v>0</v>
      </c>
      <c r="EF31" s="929">
        <v>0</v>
      </c>
      <c r="EG31" s="929">
        <v>0</v>
      </c>
      <c r="EH31" s="929">
        <v>0</v>
      </c>
      <c r="EI31" s="929">
        <v>0</v>
      </c>
      <c r="EJ31" s="929">
        <v>0</v>
      </c>
      <c r="EK31" s="929">
        <v>0</v>
      </c>
      <c r="EL31" s="929">
        <v>0</v>
      </c>
      <c r="EM31" s="929">
        <v>0</v>
      </c>
      <c r="EN31" s="929">
        <v>0</v>
      </c>
      <c r="EO31" s="929">
        <v>0</v>
      </c>
      <c r="EP31" s="929">
        <v>0</v>
      </c>
      <c r="EQ31" s="929">
        <v>0</v>
      </c>
      <c r="ER31" s="929">
        <v>0</v>
      </c>
      <c r="ES31" s="929">
        <v>0</v>
      </c>
      <c r="ET31" s="929">
        <v>0</v>
      </c>
      <c r="EU31" s="929">
        <v>0</v>
      </c>
      <c r="EV31" s="929">
        <v>0</v>
      </c>
      <c r="EW31" s="929">
        <v>0</v>
      </c>
      <c r="EX31" s="929">
        <v>0</v>
      </c>
      <c r="EY31" s="929">
        <v>0</v>
      </c>
      <c r="EZ31" s="929">
        <v>0</v>
      </c>
      <c r="FA31" s="929">
        <v>0</v>
      </c>
      <c r="FB31" s="929">
        <v>0</v>
      </c>
      <c r="FC31" s="929">
        <v>0</v>
      </c>
      <c r="FD31" s="929">
        <v>0</v>
      </c>
      <c r="FE31" s="929">
        <v>0</v>
      </c>
      <c r="FF31" s="929">
        <v>0</v>
      </c>
      <c r="FG31" s="929">
        <v>0</v>
      </c>
      <c r="FH31" s="929">
        <v>0</v>
      </c>
      <c r="FI31" s="929">
        <v>0</v>
      </c>
      <c r="FJ31" s="929">
        <v>0</v>
      </c>
      <c r="FK31" s="929">
        <v>0</v>
      </c>
      <c r="FL31" s="929">
        <v>0</v>
      </c>
      <c r="FM31" s="929">
        <v>0</v>
      </c>
      <c r="FN31" s="929">
        <v>0</v>
      </c>
      <c r="FO31" s="929">
        <v>0</v>
      </c>
      <c r="FP31" s="929">
        <v>0</v>
      </c>
      <c r="FQ31" s="929">
        <v>0</v>
      </c>
      <c r="FR31" s="929">
        <v>0</v>
      </c>
      <c r="FS31" s="929">
        <v>0</v>
      </c>
      <c r="FT31" s="929">
        <v>0</v>
      </c>
      <c r="FU31" s="929">
        <v>0</v>
      </c>
      <c r="FV31" s="929">
        <v>0</v>
      </c>
      <c r="FW31" s="929">
        <v>0</v>
      </c>
      <c r="FX31" s="929">
        <v>8</v>
      </c>
      <c r="FY31" s="929">
        <v>8</v>
      </c>
      <c r="FZ31" s="929">
        <v>8</v>
      </c>
      <c r="GA31" s="929">
        <v>8</v>
      </c>
      <c r="GB31" s="929">
        <v>8</v>
      </c>
      <c r="GC31"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93">
    <dataValidation type="decimal" allowBlank="1" showErrorMessage="1" errorTitle="Ошибка" error="Допускается ввод только действительных чисел!" sqref="DJ25">
      <formula1>-9.99999999999999E+23</formula1>
      <formula2>9.99999999999999E+23</formula2>
    </dataValidation>
    <dataValidation type="decimal" allowBlank="1" showErrorMessage="1" errorTitle="Ошибка" error="Допускается ввод только действительных чисел!" sqref="DI25">
      <formula1>-9.99999999999999E+23</formula1>
      <formula2>9.99999999999999E+23</formula2>
    </dataValidation>
    <dataValidation type="decimal" allowBlank="1" showErrorMessage="1" errorTitle="Ошибка" error="Допускается ввод только действительных чисел!" sqref="DH25">
      <formula1>-9.99999999999999E+23</formula1>
      <formula2>9.99999999999999E+23</formula2>
    </dataValidation>
    <dataValidation type="decimal" allowBlank="1" showErrorMessage="1" errorTitle="Ошибка" error="Допускается ввод только действительных чисел!" sqref="DG25">
      <formula1>-9.99999999999999E+23</formula1>
      <formula2>9.99999999999999E+23</formula2>
    </dataValidation>
    <dataValidation type="decimal" allowBlank="1" showErrorMessage="1" errorTitle="Ошибка" error="Допускается ввод только действительных чисел!" sqref="DF25">
      <formula1>-9.99999999999999E+23</formula1>
      <formula2>9.99999999999999E+23</formula2>
    </dataValidation>
    <dataValidation type="decimal" allowBlank="1" showErrorMessage="1" errorTitle="Ошибка" error="Допускается ввод только действительных чисел!" sqref="DE25">
      <formula1>-9.99999999999999E+23</formula1>
      <formula2>9.99999999999999E+23</formula2>
    </dataValidation>
    <dataValidation type="decimal" allowBlank="1" showErrorMessage="1" errorTitle="Ошибка" error="Допускается ввод только действительных чисел!" sqref="DD25">
      <formula1>-9.99999999999999E+23</formula1>
      <formula2>9.99999999999999E+23</formula2>
    </dataValidation>
    <dataValidation type="decimal" allowBlank="1" showErrorMessage="1" errorTitle="Ошибка" error="Допускается ввод только действительных чисел!" sqref="DC25">
      <formula1>-9.99999999999999E+23</formula1>
      <formula2>9.99999999999999E+23</formula2>
    </dataValidation>
    <dataValidation type="decimal" allowBlank="1" showErrorMessage="1" errorTitle="Ошибка" error="Допускается ввод только действительных чисел!" sqref="DB25">
      <formula1>-9.99999999999999E+23</formula1>
      <formula2>9.99999999999999E+23</formula2>
    </dataValidation>
    <dataValidation type="decimal" allowBlank="1" showErrorMessage="1" errorTitle="Ошибка" error="Допускается ввод только действительных чисел!" sqref="DA25">
      <formula1>-9.99999999999999E+23</formula1>
      <formula2>9.99999999999999E+23</formula2>
    </dataValidation>
    <dataValidation type="decimal" allowBlank="1" showErrorMessage="1" errorTitle="Ошибка" error="Допускается ввод только действительных чисел!" sqref="CZ25">
      <formula1>-9.99999999999999E+23</formula1>
      <formula2>9.99999999999999E+23</formula2>
    </dataValidation>
    <dataValidation type="decimal" allowBlank="1" showErrorMessage="1" errorTitle="Ошибка" error="Допускается ввод только действительных чисел!" sqref="CY25">
      <formula1>-9.99999999999999E+23</formula1>
      <formula2>9.99999999999999E+23</formula2>
    </dataValidation>
    <dataValidation type="decimal" allowBlank="1" showErrorMessage="1" errorTitle="Ошибка" error="Допускается ввод только действительных чисел!" sqref="CK25">
      <formula1>-9.99999999999999E+23</formula1>
      <formula2>9.99999999999999E+23</formula2>
    </dataValidation>
    <dataValidation type="decimal" allowBlank="1" showErrorMessage="1" errorTitle="Ошибка" error="Допускается ввод только действительных чисел!" sqref="CJ25">
      <formula1>-9.99999999999999E+23</formula1>
      <formula2>9.99999999999999E+23</formula2>
    </dataValidation>
    <dataValidation type="decimal" allowBlank="1" showErrorMessage="1" errorTitle="Ошибка" error="Допускается ввод только действительных чисел!" sqref="CI25">
      <formula1>-9.99999999999999E+23</formula1>
      <formula2>9.99999999999999E+23</formula2>
    </dataValidation>
    <dataValidation type="decimal" allowBlank="1" showErrorMessage="1" errorTitle="Ошибка" error="Допускается ввод только действительных чисел!" sqref="CH25">
      <formula1>-9.99999999999999E+23</formula1>
      <formula2>9.99999999999999E+23</formula2>
    </dataValidation>
    <dataValidation type="decimal" allowBlank="1" showErrorMessage="1" errorTitle="Ошибка" error="Допускается ввод только действительных чисел!" sqref="CG25">
      <formula1>-9.99999999999999E+23</formula1>
      <formula2>9.99999999999999E+23</formula2>
    </dataValidation>
    <dataValidation type="decimal" allowBlank="1" showErrorMessage="1" errorTitle="Ошибка" error="Допускается ввод только действительных чисел!" sqref="CF25">
      <formula1>-9.99999999999999E+23</formula1>
      <formula2>9.99999999999999E+23</formula2>
    </dataValidation>
    <dataValidation type="decimal" allowBlank="1" showErrorMessage="1" errorTitle="Ошибка" error="Допускается ввод только действительных чисел!" sqref="CE25">
      <formula1>-9.99999999999999E+23</formula1>
      <formula2>9.99999999999999E+23</formula2>
    </dataValidation>
    <dataValidation type="decimal" allowBlank="1" showErrorMessage="1" errorTitle="Ошибка" error="Допускается ввод только действительных чисел!" sqref="CD25">
      <formula1>-9.99999999999999E+23</formula1>
      <formula2>9.99999999999999E+23</formula2>
    </dataValidation>
    <dataValidation type="decimal" allowBlank="1" showErrorMessage="1" errorTitle="Ошибка" error="Допускается ввод только действительных чисел!" sqref="CC25">
      <formula1>-9.99999999999999E+23</formula1>
      <formula2>9.99999999999999E+23</formula2>
    </dataValidation>
    <dataValidation type="decimal" allowBlank="1" showErrorMessage="1" errorTitle="Ошибка" error="Допускается ввод только действительных чисел!" sqref="CB25">
      <formula1>-9.99999999999999E+23</formula1>
      <formula2>9.99999999999999E+23</formula2>
    </dataValidation>
    <dataValidation type="decimal" allowBlank="1" showErrorMessage="1" errorTitle="Ошибка" error="Допускается ввод только действительных чисел!" sqref="CA25">
      <formula1>-9.99999999999999E+23</formula1>
      <formula2>9.99999999999999E+23</formula2>
    </dataValidation>
    <dataValidation type="decimal" allowBlank="1" showErrorMessage="1" errorTitle="Ошибка" error="Допускается ввод только действительных чисел!" sqref="BZ25">
      <formula1>-9.99999999999999E+23</formula1>
      <formula2>9.99999999999999E+23</formula2>
    </dataValidation>
    <dataValidation type="decimal" allowBlank="1" showErrorMessage="1" errorTitle="Ошибка" error="Допускается ввод только действительных чисел!" sqref="BY25">
      <formula1>-9.99999999999999E+23</formula1>
      <formula2>9.99999999999999E+23</formula2>
    </dataValidation>
    <dataValidation type="decimal" allowBlank="1" showErrorMessage="1" errorTitle="Ошибка" error="Допускается ввод только действительных чисел!" sqref="BX25">
      <formula1>-9.99999999999999E+23</formula1>
      <formula2>9.99999999999999E+23</formula2>
    </dataValidation>
    <dataValidation type="decimal" allowBlank="1" showErrorMessage="1" errorTitle="Ошибка" error="Допускается ввод только действительных чисел!" sqref="BW25">
      <formula1>-9.99999999999999E+23</formula1>
      <formula2>9.99999999999999E+23</formula2>
    </dataValidation>
    <dataValidation type="decimal" allowBlank="1" showErrorMessage="1" errorTitle="Ошибка" error="Допускается ввод только действительных чисел!" sqref="BV25">
      <formula1>-9.99999999999999E+23</formula1>
      <formula2>9.99999999999999E+23</formula2>
    </dataValidation>
    <dataValidation type="decimal" allowBlank="1" showErrorMessage="1" errorTitle="Ошибка" error="Допускается ввод только действительных чисел!" sqref="BU25">
      <formula1>-9.99999999999999E+23</formula1>
      <formula2>9.99999999999999E+23</formula2>
    </dataValidation>
    <dataValidation type="decimal" allowBlank="1" showErrorMessage="1" errorTitle="Ошибка" error="Допускается ввод только действительных чисел!" sqref="BT25">
      <formula1>-9.99999999999999E+23</formula1>
      <formula2>9.99999999999999E+23</formula2>
    </dataValidation>
    <dataValidation type="decimal" allowBlank="1" showErrorMessage="1" errorTitle="Ошибка" error="Допускается ввод только действительных чисел!" sqref="AB25">
      <formula1>-9.99999999999999E+23</formula1>
      <formula2>9.99999999999999E+23</formula2>
    </dataValidation>
    <dataValidation type="decimal" allowBlank="1" showErrorMessage="1" errorTitle="Ошибка" error="Допускается ввод только действительных чисел!" sqref="AA25">
      <formula1>-9.99999999999999E+23</formula1>
      <formula2>9.99999999999999E+23</formula2>
    </dataValidation>
    <dataValidation type="decimal" allowBlank="1" showErrorMessage="1" errorTitle="Ошибка" error="Допускается ввод только действительных чисел!" sqref="Z25">
      <formula1>-9.99999999999999E+23</formula1>
      <formula2>9.99999999999999E+23</formula2>
    </dataValidation>
    <dataValidation type="decimal" allowBlank="1" showErrorMessage="1" errorTitle="Ошибка" error="Допускается ввод только действительных чисел!" sqref="Y25">
      <formula1>-9.99999999999999E+23</formula1>
      <formula2>9.99999999999999E+23</formula2>
    </dataValidation>
    <dataValidation type="decimal" allowBlank="1" showErrorMessage="1" errorTitle="Ошибка" error="Допускается ввод только действительных чисел!" sqref="X25">
      <formula1>-9.99999999999999E+23</formula1>
      <formula2>9.99999999999999E+23</formula2>
    </dataValidation>
    <dataValidation type="decimal" allowBlank="1" showErrorMessage="1" errorTitle="Ошибка" error="Допускается ввод только действительных чисел!" sqref="W25">
      <formula1>-9.99999999999999E+23</formula1>
      <formula2>9.99999999999999E+23</formula2>
    </dataValidation>
    <dataValidation type="decimal" allowBlank="1" showErrorMessage="1" errorTitle="Ошибка" error="Допускается ввод только действительных чисел!" sqref="V25">
      <formula1>-9.99999999999999E+23</formula1>
      <formula2>9.99999999999999E+23</formula2>
    </dataValidation>
    <dataValidation type="decimal" allowBlank="1" showErrorMessage="1" errorTitle="Ошибка" error="Допускается ввод только действительных чисел!" sqref="U25">
      <formula1>-9.99999999999999E+23</formula1>
      <formula2>9.99999999999999E+23</formula2>
    </dataValidation>
    <dataValidation type="decimal" allowBlank="1" showErrorMessage="1" errorTitle="Ошибка" error="Допускается ввод только действительных чисел!" sqref="T25">
      <formula1>-9.99999999999999E+23</formula1>
      <formula2>9.99999999999999E+23</formula2>
    </dataValidation>
    <dataValidation type="decimal" allowBlank="1" showErrorMessage="1" errorTitle="Ошибка" error="Допускается ввод только действительных чисел!" sqref="S25">
      <formula1>-9.99999999999999E+23</formula1>
      <formula2>9.99999999999999E+23</formula2>
    </dataValidation>
    <dataValidation type="decimal" allowBlank="1" showErrorMessage="1" errorTitle="Ошибка" error="Допускается ввод только действительных чисел!" sqref="R25">
      <formula1>-9.99999999999999E+23</formula1>
      <formula2>9.99999999999999E+23</formula2>
    </dataValidation>
    <dataValidation type="decimal" allowBlank="1" showErrorMessage="1" errorTitle="Ошибка" error="Допускается ввод только действительных чисел!" sqref="Q25">
      <formula1>-9.99999999999999E+23</formula1>
      <formula2>9.99999999999999E+23</formula2>
    </dataValidation>
    <dataValidation type="decimal" allowBlank="1" showErrorMessage="1" errorTitle="Ошибка" error="Допускается ввод только действительных чисел!" sqref="P25">
      <formula1>-9.99999999999999E+23</formula1>
      <formula2>9.99999999999999E+23</formula2>
    </dataValidation>
    <dataValidation type="decimal" allowBlank="1" showErrorMessage="1" errorTitle="Ошибка" error="Допускается ввод только действительных чисел!" sqref="O2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5">
      <formula1>900</formula1>
    </dataValidation>
    <dataValidation type="list" allowBlank="1" showInputMessage="1" showErrorMessage="1" errorTitle="Ошибка" error="Выберите значение из списка" prompt="Выберите значение из списка" sqref="H25">
      <formula1>QRE_METHOD_LIST</formula1>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1EA86-106B-100C-4046-0.8CFFBFAD}"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28" t="s">
        <v>121</v>
      </c>
      <c r="D2" s="542"/>
      <c r="E2" s="666"/>
      <c r="F2" s="1763" t="str">
        <f>IF(TEMPLATE_SPHERE="HEAT","Гкал/час","тыс. куб. м/сутки")</f>
        <v>тыс. куб. м/сутки</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9"/>
      <c r="F5" s="2259"/>
      <c r="G5" s="2259"/>
      <c r="H5" s="2259"/>
      <c r="I5" s="2270"/>
      <c r="J5" s="540"/>
      <c r="T5" s="508">
        <v>38</v>
      </c>
    </row>
    <row customHeight="1" ht="15.75">
      <c r="C6" s="179"/>
      <c r="D6" s="2198" t="str">
        <f>IF(org=0,"Не определено",org)</f>
        <v>АО "Водоканал"</v>
      </c>
      <c r="E6" s="2198"/>
      <c r="F6" s="2198"/>
      <c r="G6" s="2198"/>
      <c r="H6" s="2198"/>
      <c r="I6" s="2271"/>
      <c r="J6" s="540"/>
      <c r="T6" s="508">
        <v>15</v>
      </c>
    </row>
    <row s="1638" customFormat="1" customHeight="1" ht="15.75">
      <c r="A7" s="762"/>
      <c r="C7" s="179"/>
      <c r="D7" s="679"/>
      <c r="E7" s="679"/>
      <c r="F7" s="679"/>
      <c r="G7" s="679"/>
      <c r="H7" s="755"/>
      <c r="I7" s="2429" t="s">
        <v>22</v>
      </c>
      <c r="J7" s="540"/>
      <c r="S7" s="678"/>
      <c r="T7" s="761">
        <v>15</v>
      </c>
    </row>
    <row customHeight="1" ht="1.05">
      <c r="C8" s="179"/>
      <c r="D8" s="512"/>
      <c r="E8" s="512"/>
      <c r="F8" s="512"/>
      <c r="G8" s="512"/>
      <c r="H8" s="540" t="s">
        <v>116</v>
      </c>
      <c r="I8" s="1638" t="s">
        <v>122</v>
      </c>
      <c r="T8" s="508">
        <v>1</v>
      </c>
    </row>
    <row customHeight="1" ht="15.75">
      <c r="C9" s="179"/>
      <c r="D9" s="714"/>
      <c r="E9" s="2389" t="s">
        <v>105</v>
      </c>
      <c r="F9" s="2390"/>
      <c r="G9" s="819" t="str">
        <f>IF(G8="","",INDEX(DIFFERENTIATION_UNMERGE_VD,MATCH(G8,DIFFERENTIATION_ID_DIFF,0)))</f>
        <v/>
      </c>
      <c r="H9" s="819" t="str">
        <f>IF(H8="","",INDEX(DIFFERENTIATION_UNMERGE_VD,MATCH(H8,DIFFERENTIATION_ID_DIFF,0)))</f>
        <v>Холодное водоснабжение. Питьевая вода</v>
      </c>
      <c r="I9" s="2417" t="str">
        <f>IF(I8="","",INDEX(DIFFERENTIATION_UNMERGE_VD,MATCH(I8,DIFFERENTIATION_ID_DIFF,0)))</f>
        <v>Подключение (технологическое присоединение) к централизованной системе водоснабжения</v>
      </c>
      <c r="J9" s="2149" t="s">
        <v>302</v>
      </c>
      <c r="T9" s="508">
        <v>15</v>
      </c>
    </row>
    <row s="1638" customFormat="1" customHeight="1" ht="15.75">
      <c r="A10" s="762"/>
      <c r="C10" s="179"/>
      <c r="D10" s="714"/>
      <c r="E10" s="2389" t="s">
        <v>563</v>
      </c>
      <c r="F10" s="2390"/>
      <c r="G10" s="819" t="str">
        <f>IF(G8="","",INDEX(DIFFERENTIATION_UNMERGE_AREA,MATCH(G8,DIFFERENTIATION_ID_DIFF,0)))</f>
        <v/>
      </c>
      <c r="H10" s="819" t="str">
        <f>IF(H8="","",INDEX(DIFFERENTIATION_UNMERGE_AREA,MATCH(H8,DIFFERENTIATION_ID_DIFF,0)))</f>
        <v>без дифференциации</v>
      </c>
      <c r="I10" s="2417" t="str">
        <f>IF(I8="","",INDEX(DIFFERENTIATION_UNMERGE_AREA,MATCH(I8,DIFFERENTIATION_ID_DIFF,0)))</f>
        <v>без дифференциации</v>
      </c>
      <c r="J10" s="2149"/>
      <c r="S10" s="678"/>
      <c r="T10" s="761">
        <v>15</v>
      </c>
    </row>
    <row s="1638" customFormat="1" customHeight="1" ht="15.75">
      <c r="A11" s="762"/>
      <c r="C11" s="179"/>
      <c r="D11" s="714"/>
      <c r="E11" s="2389" t="s">
        <v>564</v>
      </c>
      <c r="F11" s="2390"/>
      <c r="G11" s="819" t="str">
        <f>IF(G8="","",INDEX(DIFFERENTIATION_UNMERGE_SYSTEM,MATCH(G8,DIFFERENTIATION_ID_DIFF,0)))</f>
        <v/>
      </c>
      <c r="H11" s="819" t="str">
        <f>IF(H8="","",INDEX(DIFFERENTIATION_UNMERGE_SYSTEM,MATCH(H8,DIFFERENTIATION_ID_DIFF,0)))</f>
        <v>без дифференциации</v>
      </c>
      <c r="I11" s="2417" t="str">
        <f>IF(I8="","",INDEX(DIFFERENTIATION_UNMERGE_SYSTEM,MATCH(I8,DIFFERENTIATION_ID_DIFF,0)))</f>
        <v>без дифференциации</v>
      </c>
      <c r="J11" s="2149"/>
      <c r="S11" s="678"/>
      <c r="T11" s="761">
        <v>15</v>
      </c>
    </row>
    <row s="1638" customFormat="1" customHeight="1" ht="15.75">
      <c r="A12" s="762"/>
      <c r="C12" s="179"/>
      <c r="D12" s="2391" t="s">
        <v>301</v>
      </c>
      <c r="E12" s="2392"/>
      <c r="F12" s="2392"/>
      <c r="G12" s="890"/>
      <c r="H12" s="890"/>
      <c r="I12" s="2389"/>
      <c r="J12" s="2149"/>
      <c r="S12" s="678"/>
      <c r="T12" s="761">
        <v>15</v>
      </c>
    </row>
    <row customHeight="1" ht="35.699999999999996">
      <c r="C13" s="179"/>
      <c r="D13" s="764" t="s">
        <v>88</v>
      </c>
      <c r="E13" s="763" t="s">
        <v>303</v>
      </c>
      <c r="F13" s="763" t="s">
        <v>565</v>
      </c>
      <c r="G13" s="811" t="s">
        <v>304</v>
      </c>
      <c r="H13" s="757" t="s">
        <v>304</v>
      </c>
      <c r="I13" s="2284" t="s">
        <v>304</v>
      </c>
      <c r="J13" s="2149"/>
      <c r="T13" s="508">
        <v>34</v>
      </c>
    </row>
    <row customHeight="1" ht="15" hidden="1">
      <c r="C14" s="179"/>
      <c r="D14" s="596" t="s">
        <v>99</v>
      </c>
      <c r="E14" s="596" t="s">
        <v>109</v>
      </c>
      <c r="F14" s="596" t="s">
        <v>90</v>
      </c>
      <c r="G14" s="662" t="str">
        <f>G1&amp;".1"</f>
        <v>.1</v>
      </c>
      <c r="H14" s="662" t="str">
        <f>H1&amp;".1"</f>
        <v>4.1</v>
      </c>
      <c r="I14" s="686" t="str">
        <f>I1&amp;".1"</f>
        <v>.1</v>
      </c>
      <c r="J14" s="292"/>
      <c r="T14" s="508">
        <v>0</v>
      </c>
    </row>
    <row customHeight="1" ht="15.75">
      <c r="A15" s="508"/>
      <c r="C15" s="529"/>
      <c r="D15" s="524">
        <v>1</v>
      </c>
      <c r="E15" s="1930" t="str">
        <f>TP_P_A</f>
        <v>Количество поданных заявлений </v>
      </c>
      <c r="F15" s="524" t="s">
        <v>1173</v>
      </c>
      <c r="G15" s="688"/>
      <c r="H15" s="688"/>
      <c r="I15" s="688"/>
      <c r="J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8">
        <v>15</v>
      </c>
    </row>
    <row customHeight="1" ht="15.75">
      <c r="A16" s="508"/>
      <c r="C16" s="529"/>
      <c r="D16" s="524">
        <v>2</v>
      </c>
      <c r="E16" s="1930" t="str">
        <f>TP_P_B</f>
        <v>Количество исполненных заявлений </v>
      </c>
      <c r="F16" s="524" t="s">
        <v>1173</v>
      </c>
      <c r="G16" s="688"/>
      <c r="H16" s="688"/>
      <c r="I16" s="688"/>
      <c r="J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8">
        <v>15</v>
      </c>
    </row>
    <row customHeight="1" ht="77.7">
      <c r="A17" s="508"/>
      <c r="C17" s="529"/>
      <c r="D17" s="524">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1173</v>
      </c>
      <c r="G17" s="688"/>
      <c r="H17" s="688"/>
      <c r="I17" s="688"/>
      <c r="J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8">
        <v>74</v>
      </c>
    </row>
    <row customHeight="1" ht="54.75">
      <c r="A18" s="508"/>
      <c r="C18" s="529"/>
      <c r="D18" s="524">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307</v>
      </c>
      <c r="G18" s="689"/>
      <c r="H18" s="689"/>
      <c r="I18" s="2375"/>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690">
        <f>SUM(I20:I22)</f>
        <v>0</v>
      </c>
      <c r="J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8">
        <v>57</v>
      </c>
    </row>
    <row customHeight="1" ht="15" hidden="1">
      <c r="D20" s="512" t="s">
        <v>1174</v>
      </c>
      <c r="E20" s="691"/>
      <c r="F20" s="512"/>
      <c r="G20" s="512"/>
      <c r="H20" s="512"/>
      <c r="I20" s="1638"/>
      <c r="J20" s="1765"/>
      <c r="T20" s="508">
        <v>0</v>
      </c>
    </row>
    <row customHeight="1" ht="29.25">
      <c r="C21" s="454"/>
      <c r="D21" s="542" t="s">
        <v>314</v>
      </c>
      <c r="E21" s="673"/>
      <c r="F21" s="1763" t="str">
        <f>IF(TEMPLATE_SPHERE="HEAT","Гкал/час","тыс. куб. м/сутки")</f>
        <v>тыс. куб. м/сутки</v>
      </c>
      <c r="G21" s="683"/>
      <c r="H21" s="683"/>
      <c r="I21" s="683"/>
      <c r="J21" s="219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8">
        <v>28</v>
      </c>
    </row>
    <row customHeight="1" ht="15.75">
      <c r="A22" s="508"/>
      <c r="C22" s="508"/>
      <c r="D22" s="350"/>
      <c r="E22" s="583" t="s">
        <v>1175</v>
      </c>
      <c r="F22" s="575"/>
      <c r="G22" s="575"/>
      <c r="H22" s="575"/>
      <c r="I22" s="2683"/>
      <c r="J22" s="2193"/>
      <c r="S22" s="508"/>
      <c r="T22" s="508">
        <v>15</v>
      </c>
    </row>
    <row customHeight="1" ht="22.5" hidden="1">
      <c r="A23" s="452" t="s">
        <v>82</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18509-5D9D-8355-E523-0.75AA590A}"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7"/>
      <c r="F5" s="2477"/>
      <c r="G5" s="2478"/>
      <c r="Q5" s="86">
        <v>28</v>
      </c>
    </row>
    <row s="1638" customFormat="1" customHeight="1" ht="18.75">
      <c r="A6" s="885"/>
      <c r="B6" s="420"/>
      <c r="C6" s="379"/>
      <c r="D6" s="2479" t="str">
        <f>IF(org=0,"Не определено",org)</f>
        <v>АО "Водоканал"</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301</v>
      </c>
      <c r="E9" s="2231"/>
      <c r="F9" s="2231"/>
      <c r="G9" s="2411" t="s">
        <v>302</v>
      </c>
      <c r="Q9" s="86">
        <v>14</v>
      </c>
    </row>
    <row customHeight="1" ht="24">
      <c r="C10" s="99"/>
      <c r="D10" s="108" t="s">
        <v>88</v>
      </c>
      <c r="E10" s="111" t="s">
        <v>303</v>
      </c>
      <c r="F10" s="111" t="s">
        <v>391</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307</v>
      </c>
      <c r="G12" s="154"/>
      <c r="Q12" s="86">
        <v>62</v>
      </c>
    </row>
    <row customHeight="1" ht="24">
      <c r="A13" s="195"/>
      <c r="C13" s="99"/>
      <c r="D13" s="150" t="s">
        <v>1077</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307</v>
      </c>
      <c r="G13" s="154"/>
      <c r="Q13" s="86">
        <v>23</v>
      </c>
    </row>
    <row customHeight="1" ht="14.699999999999998">
      <c r="A14" s="195"/>
      <c r="C14" s="99"/>
      <c r="D14" s="150" t="s">
        <v>1113</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1176</v>
      </c>
      <c r="F15" s="204"/>
      <c r="G15" s="2193"/>
      <c r="Q15" s="86">
        <v>15</v>
      </c>
    </row>
    <row customHeight="1" ht="14.699999999999998">
      <c r="A16" s="195"/>
      <c r="C16" s="99"/>
      <c r="D16" s="150" t="s">
        <v>1079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307</v>
      </c>
      <c r="G16" s="340"/>
      <c r="Q16" s="86">
        <v>14</v>
      </c>
    </row>
    <row customHeight="1" ht="14.699999999999998">
      <c r="A17" s="195"/>
      <c r="C17" s="99"/>
      <c r="D17" s="150" t="s">
        <v>1121</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1177</v>
      </c>
      <c r="F18" s="341"/>
      <c r="G18" s="2193"/>
      <c r="I18" s="353"/>
      <c r="J18" s="353"/>
      <c r="Q18" s="345">
        <v>21</v>
      </c>
    </row>
    <row s="1638" customFormat="1" customHeight="1" ht="256.5" hidden="1">
      <c r="A19" s="346"/>
      <c r="B19" s="420"/>
      <c r="C19" s="379"/>
      <c r="D19" s="887" t="s">
        <v>1081</v>
      </c>
      <c r="E19" s="886" t="s">
        <v>1178</v>
      </c>
      <c r="F19" s="388"/>
      <c r="G19" s="340" t="s">
        <v>1179</v>
      </c>
      <c r="I19" s="503"/>
      <c r="J19" s="503"/>
      <c r="Q19" s="761">
        <v>0</v>
      </c>
    </row>
    <row s="1638" customFormat="1" customHeight="1" ht="14.699999999999998">
      <c r="A20" s="346"/>
      <c r="B20" s="149"/>
      <c r="C20" s="310"/>
      <c r="D20" s="888">
        <v>2</v>
      </c>
      <c r="E20" s="333" t="s">
        <v>1180</v>
      </c>
      <c r="F20" s="201" t="s">
        <v>307</v>
      </c>
      <c r="G20" s="340"/>
      <c r="I20" s="353"/>
      <c r="J20" s="353"/>
      <c r="Q20" s="345">
        <v>14</v>
      </c>
    </row>
    <row s="1638" customFormat="1" customHeight="1" ht="18.75" hidden="1">
      <c r="A21" s="346"/>
      <c r="B21" s="149"/>
      <c r="C21" s="310"/>
      <c r="D21" s="336" t="s">
        <v>640</v>
      </c>
      <c r="E21" s="335"/>
      <c r="F21" s="334"/>
      <c r="G21" s="344"/>
      <c r="H21" s="337"/>
      <c r="I21" s="353"/>
      <c r="J21" s="353"/>
      <c r="Q21" s="345">
        <v>0</v>
      </c>
    </row>
    <row customHeight="1" ht="15.75">
      <c r="A22" s="195"/>
      <c r="C22" s="99"/>
      <c r="D22" s="112"/>
      <c r="E22" s="206" t="s">
        <v>323</v>
      </c>
      <c r="F22" s="341"/>
      <c r="G22" s="342"/>
      <c r="Q22" s="86">
        <v>15</v>
      </c>
    </row>
    <row s="1638" customFormat="1" customHeight="1" ht="22.5" hidden="1">
      <c r="A23" s="346"/>
      <c r="B23" s="1163"/>
      <c r="C23" s="379"/>
      <c r="D23" s="1675" t="s">
        <v>109</v>
      </c>
      <c r="E23" s="200" t="s">
        <v>1181</v>
      </c>
      <c r="F23" s="1672" t="s">
        <v>307</v>
      </c>
      <c r="G23" s="348"/>
      <c r="I23" s="1627"/>
      <c r="J23" s="1627"/>
      <c r="Q23" s="1634">
        <v>0</v>
      </c>
    </row>
    <row s="1638" customFormat="1" customHeight="1" ht="14.25" hidden="1">
      <c r="A24" s="346"/>
      <c r="B24" s="1163"/>
      <c r="C24" s="379"/>
      <c r="D24" s="1675" t="s">
        <v>712</v>
      </c>
      <c r="E24" s="1674" t="s">
        <v>1182</v>
      </c>
      <c r="F24" s="1672" t="s">
        <v>307</v>
      </c>
      <c r="G24" s="340"/>
      <c r="I24" s="1627"/>
      <c r="J24" s="1627"/>
      <c r="Q24" s="1634">
        <v>0</v>
      </c>
    </row>
    <row s="1638" customFormat="1" customHeight="1" ht="14.25" hidden="1">
      <c r="A25" s="346"/>
      <c r="B25" s="1163"/>
      <c r="C25" s="379"/>
      <c r="D25" s="1675" t="s">
        <v>715</v>
      </c>
      <c r="E25" s="198"/>
      <c r="F25" s="388"/>
      <c r="G25" s="2191" t="s">
        <v>1183</v>
      </c>
      <c r="I25" s="1627"/>
      <c r="J25" s="1627"/>
      <c r="Q25" s="1634">
        <v>0</v>
      </c>
    </row>
    <row s="1638" customFormat="1" customHeight="1" ht="14.25" hidden="1">
      <c r="A26" s="346"/>
      <c r="B26" s="1163"/>
      <c r="C26" s="379"/>
      <c r="D26" s="350"/>
      <c r="E26" s="352" t="s">
        <v>1184</v>
      </c>
      <c r="F26" s="341"/>
      <c r="G26" s="2193"/>
      <c r="I26" s="1627"/>
      <c r="J26" s="1627"/>
      <c r="Q26" s="1634">
        <v>0</v>
      </c>
    </row>
    <row s="1638" customFormat="1" customHeight="1" ht="33.75" hidden="1">
      <c r="A27" s="346"/>
      <c r="B27" s="1369"/>
      <c r="C27" s="379"/>
      <c r="D27" s="2079" t="s">
        <v>90</v>
      </c>
      <c r="E27" s="200" t="s">
        <v>1185</v>
      </c>
      <c r="F27" s="2080" t="s">
        <v>307</v>
      </c>
      <c r="G27" s="1528"/>
      <c r="I27" s="1627"/>
      <c r="J27" s="1627"/>
      <c r="Q27" s="1634">
        <v>0</v>
      </c>
    </row>
    <row s="1638" customFormat="1" customHeight="1" ht="22.5" hidden="1">
      <c r="A28" s="346"/>
      <c r="B28" s="1369"/>
      <c r="C28" s="379"/>
      <c r="D28" s="2079" t="s">
        <v>325</v>
      </c>
      <c r="E28" s="2081" t="s">
        <v>1186</v>
      </c>
      <c r="F28" s="2080" t="s">
        <v>307</v>
      </c>
      <c r="G28" s="340"/>
      <c r="I28" s="1627"/>
      <c r="J28" s="1627"/>
      <c r="Q28" s="1634">
        <v>0</v>
      </c>
    </row>
    <row s="1638" customFormat="1" customHeight="1" ht="14.25" hidden="1">
      <c r="A29" s="346"/>
      <c r="B29" s="1369"/>
      <c r="C29" s="379"/>
      <c r="D29" s="2079" t="s">
        <v>327</v>
      </c>
      <c r="E29" s="2093"/>
      <c r="F29" s="665"/>
      <c r="G29" s="2191" t="s">
        <v>1187</v>
      </c>
      <c r="I29" s="1627"/>
      <c r="J29" s="1627"/>
      <c r="Q29" s="1634">
        <v>0</v>
      </c>
    </row>
    <row s="1638" customFormat="1" customHeight="1" ht="14.25" hidden="1">
      <c r="A30" s="346"/>
      <c r="B30" s="1369"/>
      <c r="C30" s="379"/>
      <c r="D30" s="350"/>
      <c r="E30" s="574" t="s">
        <v>1184</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82</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57DC8-173B-0093-EDB6-0.A80E834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121</v>
      </c>
      <c r="D2" s="1675"/>
      <c r="E2" s="202"/>
      <c r="F2" s="1672"/>
      <c r="G2" s="1672" t="s">
        <v>307</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121</v>
      </c>
      <c r="D4" s="1675"/>
      <c r="E4" s="208" t="s">
        <v>1188</v>
      </c>
      <c r="F4" s="1672"/>
      <c r="G4" s="260"/>
      <c r="H4" s="1672" t="s">
        <v>307</v>
      </c>
      <c r="K4" s="1627"/>
      <c r="L4" s="1627"/>
      <c r="M4" s="1634">
        <v>0</v>
      </c>
    </row>
    <row s="1638" customFormat="1" customHeight="1" ht="14.25" hidden="1">
      <c r="A5" s="1365"/>
      <c r="B5" s="1163"/>
      <c r="C5" s="347"/>
      <c r="K5" s="1627"/>
      <c r="L5" s="1627"/>
      <c r="M5" s="1634">
        <v>0</v>
      </c>
    </row>
    <row s="1638" customFormat="1" customHeight="1" ht="18.75" hidden="1">
      <c r="A6" s="1685"/>
      <c r="B6" s="1163"/>
      <c r="C6" s="1732" t="s">
        <v>121</v>
      </c>
      <c r="D6" s="1675"/>
      <c r="E6" s="209" t="s">
        <v>1189</v>
      </c>
      <c r="F6" s="1672"/>
      <c r="G6" s="260"/>
      <c r="H6" s="1672" t="s">
        <v>307</v>
      </c>
      <c r="K6" s="1627"/>
      <c r="L6" s="1627"/>
      <c r="M6" s="1634">
        <v>0</v>
      </c>
    </row>
    <row s="1638" customFormat="1" customHeight="1" ht="14.25" hidden="1">
      <c r="A7" s="1365"/>
      <c r="B7" s="1163"/>
      <c r="C7" s="347"/>
      <c r="K7" s="1627"/>
      <c r="L7" s="1627"/>
      <c r="M7" s="1634">
        <v>0</v>
      </c>
    </row>
    <row s="1638" customFormat="1" customHeight="1" ht="18.75" hidden="1">
      <c r="A8" s="1685"/>
      <c r="B8" s="1163"/>
      <c r="C8" s="1732" t="s">
        <v>121</v>
      </c>
      <c r="D8" s="1675"/>
      <c r="E8" s="209" t="s">
        <v>1190</v>
      </c>
      <c r="F8" s="1672"/>
      <c r="G8" s="260"/>
      <c r="H8" s="1672" t="s">
        <v>307</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121</v>
      </c>
      <c r="D10" s="1675"/>
      <c r="E10" s="209" t="s">
        <v>1191</v>
      </c>
      <c r="F10" s="1672"/>
      <c r="G10" s="1676"/>
      <c r="H10" s="1672" t="s">
        <v>307</v>
      </c>
      <c r="K10" s="1627"/>
      <c r="L10" s="1627" t="s">
        <v>1192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7"/>
      <c r="F14" s="2477"/>
      <c r="G14" s="2477"/>
      <c r="H14" s="2478"/>
      <c r="J14" s="1634"/>
      <c r="M14" s="86">
        <v>28</v>
      </c>
    </row>
    <row s="1638" customFormat="1" customHeight="1" ht="14.699999999999998">
      <c r="A15" s="1365"/>
      <c r="B15" s="1163"/>
      <c r="C15" s="379"/>
      <c r="D15" s="2479" t="str">
        <f>IF(org=0,"Не определено",org)</f>
        <v>АО "Водоканал"</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301</v>
      </c>
      <c r="E18" s="2231"/>
      <c r="F18" s="2231"/>
      <c r="G18" s="2231"/>
      <c r="H18" s="2231"/>
      <c r="I18" s="2411" t="s">
        <v>302</v>
      </c>
      <c r="M18" s="86">
        <v>21</v>
      </c>
    </row>
    <row customHeight="1" ht="22.049999999999997">
      <c r="C19" s="99"/>
      <c r="D19" s="108" t="s">
        <v>88</v>
      </c>
      <c r="E19" s="111" t="s">
        <v>303</v>
      </c>
      <c r="F19" s="111"/>
      <c r="G19" s="111" t="s">
        <v>304</v>
      </c>
      <c r="H19" s="111" t="s">
        <v>391</v>
      </c>
      <c r="I19" s="2411"/>
      <c r="M19" s="86">
        <v>21</v>
      </c>
    </row>
    <row customHeight="1" ht="12" hidden="1">
      <c r="C20" s="99"/>
      <c r="D20" s="90"/>
      <c r="E20" s="90"/>
      <c r="F20" s="90"/>
      <c r="G20" s="90"/>
      <c r="H20" s="90"/>
      <c r="I20" s="90"/>
      <c r="M20" s="86">
        <v>0</v>
      </c>
    </row>
    <row customHeight="1" ht="14.699999999999998">
      <c r="A21" s="1685"/>
      <c r="C21" s="99"/>
      <c r="D21" s="150">
        <v>1</v>
      </c>
      <c r="E21" s="2483" t="s">
        <v>1193</v>
      </c>
      <c r="F21" s="2483"/>
      <c r="G21" s="2483"/>
      <c r="H21" s="2483"/>
      <c r="I21" s="211"/>
      <c r="M21" s="86">
        <v>14</v>
      </c>
    </row>
    <row customHeight="1" ht="21">
      <c r="A22" s="1685"/>
      <c r="C22" s="99"/>
      <c r="D22" s="150" t="s">
        <v>1077</v>
      </c>
      <c r="E22" s="197" t="s">
        <v>1194</v>
      </c>
      <c r="F22" s="201"/>
      <c r="G22" s="1739"/>
      <c r="H22" s="201" t="s">
        <v>307</v>
      </c>
      <c r="I22" s="154" t="s">
        <v>1195</v>
      </c>
      <c r="M22" s="86">
        <v>20</v>
      </c>
    </row>
    <row customHeight="1" ht="60">
      <c r="A23" s="1685"/>
      <c r="C23" s="99"/>
      <c r="D23" s="150" t="s">
        <v>1079</v>
      </c>
      <c r="E23" s="197" t="s">
        <v>1196</v>
      </c>
      <c r="F23" s="201"/>
      <c r="G23" s="260"/>
      <c r="H23" s="216"/>
      <c r="I23" s="261" t="s">
        <v>1197</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307</v>
      </c>
      <c r="H24" s="216"/>
      <c r="I24" s="262" t="s">
        <v>635</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2"/>
      <c r="G25" s="2482"/>
      <c r="H25" s="2482"/>
      <c r="I25" s="259"/>
      <c r="M25" s="86">
        <v>46</v>
      </c>
    </row>
    <row customHeight="1" ht="14.699999999999998">
      <c r="A26" s="1685"/>
      <c r="C26" s="99"/>
      <c r="D26" s="150" t="s">
        <v>325</v>
      </c>
      <c r="E26" s="202"/>
      <c r="F26" s="201"/>
      <c r="G26" s="201" t="s">
        <v>307</v>
      </c>
      <c r="H26" s="216"/>
      <c r="I26" s="2191" t="s">
        <v>1198</v>
      </c>
      <c r="M26" s="86">
        <v>14</v>
      </c>
    </row>
    <row customHeight="1" ht="15.75">
      <c r="A27" s="1685" t="s">
        <v>99</v>
      </c>
      <c r="C27" s="99"/>
      <c r="D27" s="112"/>
      <c r="E27" s="206" t="s">
        <v>323</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2"/>
      <c r="G28" s="2482"/>
      <c r="H28" s="2482"/>
      <c r="I28" s="259"/>
      <c r="M28" s="86">
        <v>38</v>
      </c>
    </row>
    <row customHeight="1" ht="21">
      <c r="A29" s="1685"/>
      <c r="C29" s="99"/>
      <c r="D29" s="150" t="s">
        <v>763</v>
      </c>
      <c r="E29" s="208" t="s">
        <v>1188</v>
      </c>
      <c r="F29" s="201"/>
      <c r="G29" s="260"/>
      <c r="H29" s="201" t="s">
        <v>307</v>
      </c>
      <c r="I29" s="2191" t="s">
        <v>1199</v>
      </c>
      <c r="M29" s="86">
        <v>20</v>
      </c>
    </row>
    <row customHeight="1" ht="15.75">
      <c r="A30" s="1685" t="s">
        <v>109</v>
      </c>
      <c r="C30" s="99"/>
      <c r="D30" s="112"/>
      <c r="E30" s="206" t="s">
        <v>323</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2"/>
      <c r="G31" s="2482"/>
      <c r="H31" s="2482"/>
      <c r="I31" s="259"/>
      <c r="M31" s="86">
        <v>30</v>
      </c>
    </row>
    <row customHeight="1" ht="27.299999999999997">
      <c r="A32" s="1685"/>
      <c r="C32" s="99"/>
      <c r="D32" s="150" t="s">
        <v>314</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5"/>
      <c r="G32" s="2425"/>
      <c r="H32" s="2425"/>
      <c r="I32" s="259"/>
      <c r="M32" s="86">
        <v>26</v>
      </c>
    </row>
    <row customHeight="1" ht="14.699999999999998">
      <c r="A33" s="1685"/>
      <c r="C33" s="99"/>
      <c r="D33" s="150" t="s">
        <v>1200</v>
      </c>
      <c r="E33" s="209" t="s">
        <v>1189</v>
      </c>
      <c r="F33" s="201"/>
      <c r="G33" s="260"/>
      <c r="H33" s="201" t="s">
        <v>307</v>
      </c>
      <c r="I33" s="2191" t="s">
        <v>1201</v>
      </c>
      <c r="M33" s="86">
        <v>14</v>
      </c>
    </row>
    <row customHeight="1" ht="15.75">
      <c r="A34" s="1685" t="s">
        <v>90</v>
      </c>
      <c r="C34" s="99"/>
      <c r="D34" s="112"/>
      <c r="E34" s="207" t="s">
        <v>323</v>
      </c>
      <c r="F34" s="203"/>
      <c r="G34" s="203"/>
      <c r="H34" s="204"/>
      <c r="I34" s="2193"/>
      <c r="M34" s="86">
        <v>15</v>
      </c>
    </row>
    <row customHeight="1" ht="25.2">
      <c r="A35" s="1685"/>
      <c r="C35" s="99"/>
      <c r="D35" s="150" t="s">
        <v>903</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5"/>
      <c r="G35" s="2425"/>
      <c r="H35" s="2425"/>
      <c r="I35" s="259"/>
      <c r="M35" s="86">
        <v>24</v>
      </c>
    </row>
    <row customHeight="1" ht="14.699999999999998">
      <c r="A36" s="1685"/>
      <c r="C36" s="99"/>
      <c r="D36" s="150" t="s">
        <v>1202</v>
      </c>
      <c r="E36" s="209" t="s">
        <v>1190</v>
      </c>
      <c r="F36" s="201"/>
      <c r="G36" s="260"/>
      <c r="H36" s="201" t="s">
        <v>307</v>
      </c>
      <c r="I36" s="2165" t="s">
        <v>1203</v>
      </c>
      <c r="M36" s="86">
        <v>14</v>
      </c>
    </row>
    <row customHeight="1" ht="15.75">
      <c r="A37" s="1685" t="s">
        <v>91</v>
      </c>
      <c r="C37" s="99"/>
      <c r="D37" s="112"/>
      <c r="E37" s="207" t="s">
        <v>323</v>
      </c>
      <c r="F37" s="203"/>
      <c r="G37" s="203"/>
      <c r="H37" s="204"/>
      <c r="I37" s="2165"/>
      <c r="M37" s="86">
        <v>15</v>
      </c>
    </row>
    <row customHeight="1" ht="27.299999999999997">
      <c r="A38" s="1685"/>
      <c r="C38" s="99"/>
      <c r="D38" s="150" t="s">
        <v>904</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5"/>
      <c r="G38" s="2425"/>
      <c r="H38" s="2425"/>
      <c r="I38" s="259"/>
      <c r="M38" s="86">
        <v>26</v>
      </c>
    </row>
    <row customHeight="1" ht="14.699999999999998">
      <c r="A39" s="1685"/>
      <c r="C39" s="99"/>
      <c r="D39" s="150" t="s">
        <v>905</v>
      </c>
      <c r="E39" s="209" t="s">
        <v>1191</v>
      </c>
      <c r="F39" s="201"/>
      <c r="G39" s="210"/>
      <c r="H39" s="201" t="s">
        <v>307</v>
      </c>
      <c r="I39" s="2191" t="s">
        <v>1204</v>
      </c>
      <c r="L39" s="158" t="s">
        <v>1192</v>
      </c>
      <c r="M39" s="86">
        <v>14</v>
      </c>
    </row>
    <row customHeight="1" ht="15.75">
      <c r="A40" s="1685" t="s">
        <v>110</v>
      </c>
      <c r="C40" s="99"/>
      <c r="D40" s="112"/>
      <c r="E40" s="207" t="s">
        <v>323</v>
      </c>
      <c r="F40" s="203"/>
      <c r="G40" s="203"/>
      <c r="H40" s="204"/>
      <c r="I40" s="2193"/>
      <c r="M40" s="86">
        <v>15</v>
      </c>
    </row>
    <row s="1825" customFormat="1" customHeight="1" ht="3">
      <c r="A41" s="1685"/>
      <c r="K41" s="199"/>
      <c r="L41" s="199"/>
      <c r="M41" s="143">
        <v>3</v>
      </c>
    </row>
    <row customHeight="1" ht="26.25">
      <c r="D42" s="1683" t="s">
        <v>825</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7"/>
      <c r="G42" s="2307"/>
      <c r="H42" s="2307"/>
      <c r="I42" s="2307"/>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32C4A-DCFA-AC42-7D32-0.25180AF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158</v>
      </c>
      <c r="B2" s="1782" t="s">
        <v>159</v>
      </c>
      <c r="C2" s="372"/>
      <c r="D2" s="347"/>
      <c r="E2" s="1034"/>
      <c r="F2" s="1034"/>
      <c r="G2" s="2449" t="str">
        <f>INDEX(PT_DIFFERENTIATION_NTAR,MATCH(B2,PT_DIFFERENTIATION_NTAR_ID,0))</f>
        <v/>
      </c>
      <c r="H2" s="1864"/>
      <c r="I2" s="1741"/>
      <c r="J2" s="1775"/>
      <c r="K2" s="1865"/>
      <c r="L2" s="1864" t="s">
        <v>307</v>
      </c>
      <c r="M2" s="1875"/>
      <c r="N2" s="337"/>
      <c r="O2" s="1627"/>
      <c r="P2" s="1627"/>
      <c r="AH2" s="1634">
        <v>0</v>
      </c>
    </row>
    <row s="1638" customFormat="1" customHeight="1" ht="18.75" hidden="1">
      <c r="A3" s="1782"/>
      <c r="B3" s="1782"/>
      <c r="C3" s="372" t="s">
        <v>1205</v>
      </c>
      <c r="D3" s="347"/>
      <c r="E3" s="1034"/>
      <c r="F3" s="1034"/>
      <c r="G3" s="2449"/>
      <c r="H3" s="1503"/>
      <c r="I3" s="654" t="s">
        <v>1206</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158</v>
      </c>
      <c r="B5" s="1782" t="s">
        <v>159</v>
      </c>
      <c r="C5" s="372"/>
      <c r="D5" s="347"/>
      <c r="E5" s="1034"/>
      <c r="F5" s="1034"/>
      <c r="G5" s="2449" t="str">
        <f>INDEX(PT_DIFFERENTIATION_NTAR,MATCH(B5,PT_DIFFERENTIATION_NTAR_ID,0))</f>
        <v/>
      </c>
      <c r="H5" s="1864"/>
      <c r="I5" s="1741"/>
      <c r="J5" s="1775"/>
      <c r="K5" s="1780"/>
      <c r="L5" s="1864" t="s">
        <v>307</v>
      </c>
      <c r="M5" s="1875"/>
      <c r="N5" s="337"/>
      <c r="O5" s="1627"/>
      <c r="P5" s="1627"/>
      <c r="AH5" s="1634">
        <v>0</v>
      </c>
    </row>
    <row s="1638" customFormat="1" customHeight="1" ht="18.75" hidden="1">
      <c r="A6" s="1782"/>
      <c r="B6" s="1782"/>
      <c r="C6" s="372" t="s">
        <v>1207</v>
      </c>
      <c r="D6" s="347"/>
      <c r="E6" s="1034"/>
      <c r="F6" s="1034"/>
      <c r="G6" s="2449"/>
      <c r="H6" s="1503"/>
      <c r="I6" s="654" t="s">
        <v>1206</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307</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307</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301</v>
      </c>
      <c r="F19" s="2231"/>
      <c r="G19" s="2231"/>
      <c r="H19" s="2231"/>
      <c r="I19" s="2231"/>
      <c r="J19" s="2231"/>
      <c r="K19" s="2231"/>
      <c r="L19" s="2231"/>
      <c r="M19" s="2411" t="s">
        <v>302</v>
      </c>
      <c r="AH19" s="377">
        <v>21</v>
      </c>
    </row>
    <row customHeight="1" ht="22.049999999999997">
      <c r="D20" s="379"/>
      <c r="E20" s="2299" t="s">
        <v>88</v>
      </c>
      <c r="F20" s="2246" t="s">
        <v>125</v>
      </c>
      <c r="G20" s="2246" t="s">
        <v>126</v>
      </c>
      <c r="H20" s="2408" t="s">
        <v>1208</v>
      </c>
      <c r="I20" s="2409"/>
      <c r="J20" s="2455"/>
      <c r="K20" s="2246" t="s">
        <v>304</v>
      </c>
      <c r="L20" s="2246" t="s">
        <v>391</v>
      </c>
      <c r="M20" s="2411"/>
      <c r="AH20" s="377">
        <v>21</v>
      </c>
    </row>
    <row customHeight="1" ht="22.049999999999997">
      <c r="D21" s="379"/>
      <c r="E21" s="2301"/>
      <c r="F21" s="2247"/>
      <c r="G21" s="2247"/>
      <c r="H21" s="2240" t="s">
        <v>1209</v>
      </c>
      <c r="I21" s="2242"/>
      <c r="J21" s="111" t="s">
        <v>1210</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99</v>
      </c>
      <c r="F23" s="2490" t="str">
        <f>"Предлагаемый метод регулирования"&amp;IF(TEMPLATE_SPHERE="HEAT"," в сфере "&amp;TEMPLATE_SPHERE_RUS,"")</f>
        <v>Предлагаемый метод регулирования</v>
      </c>
      <c r="G23" s="2491"/>
      <c r="H23" s="2483"/>
      <c r="I23" s="2483"/>
      <c r="J23" s="2483"/>
      <c r="K23" s="2491" t="s">
        <v>307</v>
      </c>
      <c r="L23" s="2483"/>
      <c r="M23" s="1771"/>
      <c r="N23" s="337"/>
      <c r="AH23" s="377">
        <v>19</v>
      </c>
    </row>
    <row customHeight="1" ht="60.75" hidden="1">
      <c r="A24" s="1782" t="s">
        <v>158</v>
      </c>
      <c r="B24" s="1782" t="s">
        <v>159</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307</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1205</v>
      </c>
      <c r="D25" s="2488"/>
      <c r="E25" s="2226"/>
      <c r="F25" s="2492"/>
      <c r="G25" s="2449"/>
      <c r="H25" s="1503"/>
      <c r="I25" s="654" t="s">
        <v>1206</v>
      </c>
      <c r="J25" s="574"/>
      <c r="K25" s="1503"/>
      <c r="L25" s="217"/>
      <c r="M25" s="2192"/>
      <c r="N25" s="337"/>
      <c r="O25" s="1627"/>
      <c r="P25" s="1627"/>
      <c r="AH25" s="1634">
        <v>0</v>
      </c>
    </row>
    <row customHeight="1" ht="0.75" hidden="1">
      <c r="A26" s="1782"/>
      <c r="B26" s="1782"/>
      <c r="C26" s="372" t="s">
        <v>1211</v>
      </c>
      <c r="D26" s="2488"/>
      <c r="E26" s="2226"/>
      <c r="F26" s="2405"/>
      <c r="G26" s="403"/>
      <c r="H26" s="1503"/>
      <c r="I26" s="398"/>
      <c r="J26" s="352"/>
      <c r="K26" s="1503"/>
      <c r="L26" s="204"/>
      <c r="M26" s="2192"/>
      <c r="N26" s="337"/>
      <c r="AH26" s="377">
        <v>0</v>
      </c>
    </row>
    <row s="1638" customFormat="1" customHeight="1" ht="45" hidden="1">
      <c r="A27" s="1782" t="s">
        <v>163</v>
      </c>
      <c r="B27" s="1782" t="s">
        <v>164</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307</v>
      </c>
      <c r="M27" s="2192"/>
      <c r="N27" s="337"/>
      <c r="O27" s="1627"/>
      <c r="P27" s="1627"/>
      <c r="AH27" s="1634">
        <v>0</v>
      </c>
    </row>
    <row s="1638" customFormat="1" customHeight="1" ht="18.75" hidden="1">
      <c r="A28" s="1782"/>
      <c r="B28" s="1782"/>
      <c r="C28" s="372" t="s">
        <v>1205</v>
      </c>
      <c r="D28" s="2484"/>
      <c r="E28" s="2485"/>
      <c r="F28" s="2486"/>
      <c r="G28" s="2449"/>
      <c r="H28" s="1503"/>
      <c r="I28" s="654" t="s">
        <v>1206</v>
      </c>
      <c r="J28" s="574"/>
      <c r="K28" s="1503"/>
      <c r="L28" s="217"/>
      <c r="M28" s="2192"/>
      <c r="N28" s="337"/>
      <c r="O28" s="1627"/>
      <c r="P28" s="1627"/>
      <c r="AH28" s="1634">
        <v>0</v>
      </c>
    </row>
    <row s="1638" customFormat="1" customHeight="1" ht="0.75" hidden="1">
      <c r="A29" s="1782"/>
      <c r="B29" s="1782"/>
      <c r="C29" s="372" t="s">
        <v>1211</v>
      </c>
      <c r="D29" s="2484"/>
      <c r="E29" s="2226"/>
      <c r="F29" s="2405"/>
      <c r="G29" s="403"/>
      <c r="H29" s="1503"/>
      <c r="I29" s="654"/>
      <c r="J29" s="574"/>
      <c r="K29" s="1503"/>
      <c r="L29" s="217"/>
      <c r="M29" s="2192"/>
      <c r="N29" s="337"/>
      <c r="O29" s="1627"/>
      <c r="P29" s="1627"/>
      <c r="AH29" s="1634">
        <v>0</v>
      </c>
    </row>
    <row s="1638" customFormat="1" customHeight="1" ht="45" hidden="1">
      <c r="A30" s="1782" t="s">
        <v>170</v>
      </c>
      <c r="B30" s="1782" t="s">
        <v>171</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307</v>
      </c>
      <c r="M30" s="2192"/>
      <c r="N30" s="337"/>
      <c r="O30" s="1627"/>
      <c r="P30" s="1627"/>
      <c r="AH30" s="1634">
        <v>0</v>
      </c>
    </row>
    <row s="1638" customFormat="1" customHeight="1" ht="18.75" hidden="1">
      <c r="A31" s="1782"/>
      <c r="B31" s="1782"/>
      <c r="C31" s="372" t="s">
        <v>1205</v>
      </c>
      <c r="D31" s="2484"/>
      <c r="E31" s="2226"/>
      <c r="F31" s="2405"/>
      <c r="G31" s="2449"/>
      <c r="H31" s="1503"/>
      <c r="I31" s="654" t="s">
        <v>1206</v>
      </c>
      <c r="J31" s="574"/>
      <c r="K31" s="1503"/>
      <c r="L31" s="217"/>
      <c r="M31" s="2192"/>
      <c r="N31" s="337"/>
      <c r="O31" s="1627"/>
      <c r="P31" s="1627"/>
      <c r="AH31" s="1634">
        <v>0</v>
      </c>
    </row>
    <row s="1638" customFormat="1" customHeight="1" ht="0.75" hidden="1">
      <c r="A32" s="1782"/>
      <c r="B32" s="1782"/>
      <c r="C32" s="372" t="s">
        <v>1211</v>
      </c>
      <c r="D32" s="2484"/>
      <c r="E32" s="2226"/>
      <c r="F32" s="2405"/>
      <c r="G32" s="403"/>
      <c r="H32" s="1503"/>
      <c r="I32" s="654"/>
      <c r="J32" s="574"/>
      <c r="K32" s="1503"/>
      <c r="L32" s="217"/>
      <c r="M32" s="2192"/>
      <c r="N32" s="337"/>
      <c r="O32" s="1627"/>
      <c r="P32" s="1627"/>
      <c r="AH32" s="1634">
        <v>0</v>
      </c>
    </row>
    <row s="1638" customFormat="1" customHeight="1" ht="45" hidden="1">
      <c r="A33" s="1782" t="s">
        <v>176</v>
      </c>
      <c r="B33" s="1782" t="s">
        <v>177</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307</v>
      </c>
      <c r="M33" s="2192"/>
      <c r="N33" s="337"/>
      <c r="O33" s="1627"/>
      <c r="P33" s="1627"/>
      <c r="AH33" s="1634">
        <v>0</v>
      </c>
    </row>
    <row s="1638" customFormat="1" customHeight="1" ht="18.75" hidden="1">
      <c r="A34" s="1782"/>
      <c r="B34" s="1782"/>
      <c r="C34" s="372" t="s">
        <v>1205</v>
      </c>
      <c r="D34" s="2484"/>
      <c r="E34" s="2226"/>
      <c r="F34" s="2405"/>
      <c r="G34" s="2449"/>
      <c r="H34" s="1503"/>
      <c r="I34" s="654" t="s">
        <v>1206</v>
      </c>
      <c r="J34" s="574"/>
      <c r="K34" s="1503"/>
      <c r="L34" s="217"/>
      <c r="M34" s="2192"/>
      <c r="N34" s="337"/>
      <c r="O34" s="1627"/>
      <c r="P34" s="1627"/>
      <c r="AH34" s="1634">
        <v>0</v>
      </c>
    </row>
    <row s="1638" customFormat="1" customHeight="1" ht="0.75" hidden="1">
      <c r="A35" s="1782"/>
      <c r="B35" s="1782"/>
      <c r="C35" s="372" t="s">
        <v>1211</v>
      </c>
      <c r="D35" s="2484"/>
      <c r="E35" s="2226"/>
      <c r="F35" s="2405"/>
      <c r="G35" s="403"/>
      <c r="H35" s="1503"/>
      <c r="I35" s="654"/>
      <c r="J35" s="574"/>
      <c r="K35" s="1503"/>
      <c r="L35" s="217"/>
      <c r="M35" s="2192"/>
      <c r="N35" s="337"/>
      <c r="O35" s="1627"/>
      <c r="P35" s="1627"/>
      <c r="AH35" s="1634">
        <v>0</v>
      </c>
    </row>
    <row s="1638" customFormat="1" customHeight="1" ht="18.75" hidden="1">
      <c r="A36" s="1782" t="s">
        <v>182</v>
      </c>
      <c r="B36" s="1782" t="s">
        <v>183</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307</v>
      </c>
      <c r="M36" s="2192"/>
      <c r="N36" s="337"/>
      <c r="O36" s="1627"/>
      <c r="P36" s="1627"/>
      <c r="AH36" s="1634">
        <v>0</v>
      </c>
    </row>
    <row s="1638" customFormat="1" customHeight="1" ht="18.75" hidden="1">
      <c r="A37" s="1782"/>
      <c r="B37" s="1782"/>
      <c r="C37" s="372" t="s">
        <v>1205</v>
      </c>
      <c r="D37" s="2484"/>
      <c r="E37" s="2226"/>
      <c r="F37" s="2405"/>
      <c r="G37" s="2449"/>
      <c r="H37" s="1503"/>
      <c r="I37" s="654" t="s">
        <v>1206</v>
      </c>
      <c r="J37" s="574"/>
      <c r="K37" s="1503"/>
      <c r="L37" s="217"/>
      <c r="M37" s="2192"/>
      <c r="N37" s="337"/>
      <c r="O37" s="1627"/>
      <c r="P37" s="1627"/>
      <c r="AH37" s="1634">
        <v>0</v>
      </c>
    </row>
    <row s="1638" customFormat="1" customHeight="1" ht="0.75" hidden="1">
      <c r="A38" s="1782"/>
      <c r="B38" s="1782"/>
      <c r="C38" s="372" t="s">
        <v>1211</v>
      </c>
      <c r="D38" s="2484"/>
      <c r="E38" s="2226"/>
      <c r="F38" s="2405"/>
      <c r="G38" s="403"/>
      <c r="H38" s="1503"/>
      <c r="I38" s="654"/>
      <c r="J38" s="574"/>
      <c r="K38" s="1503"/>
      <c r="L38" s="217"/>
      <c r="M38" s="2192"/>
      <c r="N38" s="337"/>
      <c r="O38" s="1627"/>
      <c r="P38" s="1627"/>
      <c r="AH38" s="1634">
        <v>0</v>
      </c>
    </row>
    <row s="1638" customFormat="1" customHeight="1" ht="18.75" hidden="1">
      <c r="A39" s="1782" t="s">
        <v>188</v>
      </c>
      <c r="B39" s="1782" t="s">
        <v>189</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307</v>
      </c>
      <c r="M39" s="2192"/>
      <c r="N39" s="337"/>
      <c r="O39" s="1627"/>
      <c r="P39" s="1627"/>
      <c r="AH39" s="1634">
        <v>0</v>
      </c>
    </row>
    <row s="1638" customFormat="1" customHeight="1" ht="18.75" hidden="1">
      <c r="A40" s="1782"/>
      <c r="B40" s="1782"/>
      <c r="C40" s="372" t="s">
        <v>1205</v>
      </c>
      <c r="D40" s="2484"/>
      <c r="E40" s="2226"/>
      <c r="F40" s="2405"/>
      <c r="G40" s="2449"/>
      <c r="H40" s="1503"/>
      <c r="I40" s="654" t="s">
        <v>1206</v>
      </c>
      <c r="J40" s="574"/>
      <c r="K40" s="1503"/>
      <c r="L40" s="217"/>
      <c r="M40" s="2192"/>
      <c r="N40" s="337"/>
      <c r="O40" s="1627"/>
      <c r="P40" s="1627"/>
      <c r="AH40" s="1634">
        <v>0</v>
      </c>
    </row>
    <row s="1638" customFormat="1" customHeight="1" ht="0.75" hidden="1">
      <c r="A41" s="1782"/>
      <c r="B41" s="1782"/>
      <c r="C41" s="372" t="s">
        <v>1211</v>
      </c>
      <c r="D41" s="2484"/>
      <c r="E41" s="2226"/>
      <c r="F41" s="2405"/>
      <c r="G41" s="403"/>
      <c r="H41" s="1503"/>
      <c r="I41" s="654"/>
      <c r="J41" s="574"/>
      <c r="K41" s="1503"/>
      <c r="L41" s="217"/>
      <c r="M41" s="2192"/>
      <c r="N41" s="337"/>
      <c r="O41" s="1627"/>
      <c r="P41" s="1627"/>
      <c r="AH41" s="1634">
        <v>0</v>
      </c>
    </row>
    <row s="1638" customFormat="1" customHeight="1" ht="18.75" hidden="1">
      <c r="A42" s="1782" t="s">
        <v>194</v>
      </c>
      <c r="B42" s="1782" t="s">
        <v>195</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307</v>
      </c>
      <c r="M42" s="2192"/>
      <c r="N42" s="337"/>
      <c r="O42" s="1627"/>
      <c r="P42" s="1627"/>
      <c r="AH42" s="1634">
        <v>0</v>
      </c>
    </row>
    <row s="1638" customFormat="1" customHeight="1" ht="18.75" hidden="1">
      <c r="A43" s="1782"/>
      <c r="B43" s="1782"/>
      <c r="C43" s="372" t="s">
        <v>1205</v>
      </c>
      <c r="D43" s="2484"/>
      <c r="E43" s="2226"/>
      <c r="F43" s="2405"/>
      <c r="G43" s="2449"/>
      <c r="H43" s="1503"/>
      <c r="I43" s="654" t="s">
        <v>1206</v>
      </c>
      <c r="J43" s="574"/>
      <c r="K43" s="1503"/>
      <c r="L43" s="217"/>
      <c r="M43" s="2192"/>
      <c r="N43" s="337"/>
      <c r="O43" s="1627"/>
      <c r="P43" s="1627"/>
      <c r="AH43" s="1634">
        <v>0</v>
      </c>
    </row>
    <row s="1638" customFormat="1" customHeight="1" ht="0.75" hidden="1">
      <c r="A44" s="1782"/>
      <c r="B44" s="1782"/>
      <c r="C44" s="372" t="s">
        <v>1211</v>
      </c>
      <c r="D44" s="2484"/>
      <c r="E44" s="2226"/>
      <c r="F44" s="2405"/>
      <c r="G44" s="403"/>
      <c r="H44" s="1503"/>
      <c r="I44" s="654"/>
      <c r="J44" s="574"/>
      <c r="K44" s="1503"/>
      <c r="L44" s="217"/>
      <c r="M44" s="2192"/>
      <c r="N44" s="337"/>
      <c r="O44" s="1627"/>
      <c r="P44" s="1627"/>
      <c r="AH44" s="1634">
        <v>0</v>
      </c>
    </row>
    <row s="1638" customFormat="1" customHeight="1" ht="18.75" hidden="1">
      <c r="A45" s="1782" t="s">
        <v>200</v>
      </c>
      <c r="B45" s="1782" t="s">
        <v>201</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307</v>
      </c>
      <c r="M45" s="2192"/>
      <c r="N45" s="337"/>
      <c r="O45" s="1627"/>
      <c r="P45" s="1627"/>
      <c r="AH45" s="1634">
        <v>0</v>
      </c>
    </row>
    <row s="1638" customFormat="1" customHeight="1" ht="18.75" hidden="1">
      <c r="A46" s="1782"/>
      <c r="B46" s="1782"/>
      <c r="C46" s="372" t="s">
        <v>1205</v>
      </c>
      <c r="D46" s="2484"/>
      <c r="E46" s="2226"/>
      <c r="F46" s="2405"/>
      <c r="G46" s="2449"/>
      <c r="H46" s="1503"/>
      <c r="I46" s="654" t="s">
        <v>1206</v>
      </c>
      <c r="J46" s="574"/>
      <c r="K46" s="1503"/>
      <c r="L46" s="217"/>
      <c r="M46" s="2192"/>
      <c r="N46" s="337"/>
      <c r="O46" s="1627"/>
      <c r="P46" s="1627"/>
      <c r="AH46" s="1634">
        <v>0</v>
      </c>
    </row>
    <row s="1638" customFormat="1" customHeight="1" ht="0.75" hidden="1">
      <c r="A47" s="1782"/>
      <c r="B47" s="1782"/>
      <c r="C47" s="372" t="s">
        <v>1211</v>
      </c>
      <c r="D47" s="2484"/>
      <c r="E47" s="2226"/>
      <c r="F47" s="2405"/>
      <c r="G47" s="403"/>
      <c r="H47" s="1503"/>
      <c r="I47" s="654"/>
      <c r="J47" s="574"/>
      <c r="K47" s="1503"/>
      <c r="L47" s="217"/>
      <c r="M47" s="2192"/>
      <c r="N47" s="337"/>
      <c r="O47" s="1627"/>
      <c r="P47" s="1627"/>
      <c r="AH47" s="1634">
        <v>0</v>
      </c>
    </row>
    <row s="1638" customFormat="1" customHeight="1" ht="18.75" hidden="1">
      <c r="A48" s="1782" t="s">
        <v>206</v>
      </c>
      <c r="B48" s="1782" t="s">
        <v>207</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307</v>
      </c>
      <c r="M48" s="2192"/>
      <c r="N48" s="337"/>
      <c r="O48" s="1627"/>
      <c r="P48" s="1627"/>
      <c r="AH48" s="1634">
        <v>0</v>
      </c>
    </row>
    <row s="1638" customFormat="1" customHeight="1" ht="18.75" hidden="1">
      <c r="A49" s="1782"/>
      <c r="B49" s="1782"/>
      <c r="C49" s="372" t="s">
        <v>1205</v>
      </c>
      <c r="D49" s="2484"/>
      <c r="E49" s="2226"/>
      <c r="F49" s="2405"/>
      <c r="G49" s="2449"/>
      <c r="H49" s="1503"/>
      <c r="I49" s="654" t="s">
        <v>1206</v>
      </c>
      <c r="J49" s="574"/>
      <c r="K49" s="1503"/>
      <c r="L49" s="217"/>
      <c r="M49" s="2192"/>
      <c r="N49" s="337"/>
      <c r="O49" s="1627"/>
      <c r="P49" s="1627"/>
      <c r="AH49" s="1634">
        <v>0</v>
      </c>
    </row>
    <row s="1638" customFormat="1" customHeight="1" ht="0.75" hidden="1">
      <c r="A50" s="1782"/>
      <c r="B50" s="1782"/>
      <c r="C50" s="372" t="s">
        <v>1211</v>
      </c>
      <c r="D50" s="2484"/>
      <c r="E50" s="2226"/>
      <c r="F50" s="2405"/>
      <c r="G50" s="403"/>
      <c r="H50" s="1503"/>
      <c r="I50" s="654"/>
      <c r="J50" s="574"/>
      <c r="K50" s="1503"/>
      <c r="L50" s="217"/>
      <c r="M50" s="2192"/>
      <c r="N50" s="337"/>
      <c r="O50" s="1627"/>
      <c r="P50" s="1627"/>
      <c r="AH50" s="1634">
        <v>0</v>
      </c>
    </row>
    <row s="1638" customFormat="1" customHeight="1" ht="18.75" hidden="1">
      <c r="A51" s="1782" t="s">
        <v>226</v>
      </c>
      <c r="B51" s="1782" t="s">
        <v>227</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307</v>
      </c>
      <c r="M51" s="2192"/>
      <c r="N51" s="337"/>
      <c r="O51" s="1627"/>
      <c r="P51" s="1627"/>
      <c r="AH51" s="1634">
        <v>0</v>
      </c>
    </row>
    <row s="1638" customFormat="1" customHeight="1" ht="18.75" hidden="1">
      <c r="A52" s="1782"/>
      <c r="B52" s="1782"/>
      <c r="C52" s="372" t="s">
        <v>1205</v>
      </c>
      <c r="D52" s="2484"/>
      <c r="E52" s="2226"/>
      <c r="F52" s="2405"/>
      <c r="G52" s="2449"/>
      <c r="H52" s="1503"/>
      <c r="I52" s="654" t="s">
        <v>1206</v>
      </c>
      <c r="J52" s="574"/>
      <c r="K52" s="1503"/>
      <c r="L52" s="217"/>
      <c r="M52" s="2192"/>
      <c r="N52" s="337"/>
      <c r="O52" s="1627"/>
      <c r="P52" s="1627"/>
      <c r="AH52" s="1634">
        <v>0</v>
      </c>
    </row>
    <row s="1638" customFormat="1" customHeight="1" ht="0.75" hidden="1">
      <c r="A53" s="1782"/>
      <c r="B53" s="1782"/>
      <c r="C53" s="372" t="s">
        <v>1211</v>
      </c>
      <c r="D53" s="2484"/>
      <c r="E53" s="2226"/>
      <c r="F53" s="2405"/>
      <c r="G53" s="403"/>
      <c r="H53" s="1503"/>
      <c r="I53" s="654"/>
      <c r="J53" s="574"/>
      <c r="K53" s="1503"/>
      <c r="L53" s="217"/>
      <c r="M53" s="2192"/>
      <c r="N53" s="337"/>
      <c r="O53" s="1627"/>
      <c r="P53" s="1627"/>
      <c r="AH53" s="1634">
        <v>0</v>
      </c>
    </row>
    <row s="1638" customFormat="1" customHeight="1" ht="18.75" hidden="1">
      <c r="A54" s="1782" t="s">
        <v>231</v>
      </c>
      <c r="B54" s="1782" t="s">
        <v>232</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307</v>
      </c>
      <c r="M54" s="2192"/>
      <c r="N54" s="337"/>
      <c r="O54" s="1627"/>
      <c r="P54" s="1627"/>
      <c r="AH54" s="1634">
        <v>0</v>
      </c>
    </row>
    <row s="1638" customFormat="1" customHeight="1" ht="18.75" hidden="1">
      <c r="A55" s="1782"/>
      <c r="B55" s="1782"/>
      <c r="C55" s="372" t="s">
        <v>1205</v>
      </c>
      <c r="D55" s="2484"/>
      <c r="E55" s="2226"/>
      <c r="F55" s="2405"/>
      <c r="G55" s="2449"/>
      <c r="H55" s="1503"/>
      <c r="I55" s="654" t="s">
        <v>1206</v>
      </c>
      <c r="J55" s="574"/>
      <c r="K55" s="1503"/>
      <c r="L55" s="217"/>
      <c r="M55" s="2192"/>
      <c r="N55" s="337"/>
      <c r="O55" s="1627"/>
      <c r="P55" s="1627"/>
      <c r="AH55" s="1634">
        <v>0</v>
      </c>
    </row>
    <row s="1638" customFormat="1" customHeight="1" ht="0.75" hidden="1">
      <c r="A56" s="1782"/>
      <c r="B56" s="1782"/>
      <c r="C56" s="372" t="s">
        <v>1211</v>
      </c>
      <c r="D56" s="2484"/>
      <c r="E56" s="2226"/>
      <c r="F56" s="2405"/>
      <c r="G56" s="403"/>
      <c r="H56" s="1503"/>
      <c r="I56" s="654"/>
      <c r="J56" s="574"/>
      <c r="K56" s="1503"/>
      <c r="L56" s="217"/>
      <c r="M56" s="2192"/>
      <c r="N56" s="337"/>
      <c r="O56" s="1627"/>
      <c r="P56" s="1627"/>
      <c r="AH56" s="1634">
        <v>0</v>
      </c>
    </row>
    <row s="1638" customFormat="1" customHeight="1" ht="18.75" hidden="1">
      <c r="A57" s="1782" t="s">
        <v>236</v>
      </c>
      <c r="B57" s="1782" t="s">
        <v>237</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307</v>
      </c>
      <c r="M57" s="2192"/>
      <c r="N57" s="337"/>
      <c r="O57" s="1627"/>
      <c r="P57" s="1627"/>
      <c r="AH57" s="1634">
        <v>0</v>
      </c>
    </row>
    <row s="1638" customFormat="1" customHeight="1" ht="18.75" hidden="1">
      <c r="A58" s="1782"/>
      <c r="B58" s="1782"/>
      <c r="C58" s="372" t="s">
        <v>1205</v>
      </c>
      <c r="D58" s="2484"/>
      <c r="E58" s="2226"/>
      <c r="F58" s="2405"/>
      <c r="G58" s="2449"/>
      <c r="H58" s="1503"/>
      <c r="I58" s="654" t="s">
        <v>1206</v>
      </c>
      <c r="J58" s="574"/>
      <c r="K58" s="1503"/>
      <c r="L58" s="217"/>
      <c r="M58" s="2192"/>
      <c r="N58" s="337"/>
      <c r="O58" s="1627"/>
      <c r="P58" s="1627"/>
      <c r="AH58" s="1634">
        <v>0</v>
      </c>
    </row>
    <row s="1638" customFormat="1" customHeight="1" ht="0.75" hidden="1">
      <c r="A59" s="1782"/>
      <c r="B59" s="1782"/>
      <c r="C59" s="372" t="s">
        <v>1211</v>
      </c>
      <c r="D59" s="2484"/>
      <c r="E59" s="2226"/>
      <c r="F59" s="2405"/>
      <c r="G59" s="403"/>
      <c r="H59" s="1503"/>
      <c r="I59" s="654"/>
      <c r="J59" s="574"/>
      <c r="K59" s="1503"/>
      <c r="L59" s="217"/>
      <c r="M59" s="2192"/>
      <c r="N59" s="337"/>
      <c r="O59" s="1627"/>
      <c r="P59" s="1627"/>
      <c r="AH59" s="1634">
        <v>0</v>
      </c>
    </row>
    <row s="1638" customFormat="1" customHeight="1" ht="18.75" hidden="1">
      <c r="A60" s="1782" t="s">
        <v>241</v>
      </c>
      <c r="B60" s="1782" t="s">
        <v>242</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307</v>
      </c>
      <c r="M60" s="2192"/>
      <c r="N60" s="337"/>
      <c r="O60" s="1627"/>
      <c r="P60" s="1627"/>
      <c r="AH60" s="1634">
        <v>0</v>
      </c>
    </row>
    <row s="1638" customFormat="1" customHeight="1" ht="18.75" hidden="1">
      <c r="A61" s="1782"/>
      <c r="B61" s="1782"/>
      <c r="C61" s="372" t="s">
        <v>1205</v>
      </c>
      <c r="D61" s="2484"/>
      <c r="E61" s="2226"/>
      <c r="F61" s="2405"/>
      <c r="G61" s="2449"/>
      <c r="H61" s="1503"/>
      <c r="I61" s="654" t="s">
        <v>1206</v>
      </c>
      <c r="J61" s="574"/>
      <c r="K61" s="1503"/>
      <c r="L61" s="217"/>
      <c r="M61" s="2192"/>
      <c r="N61" s="337"/>
      <c r="O61" s="1627"/>
      <c r="P61" s="1627"/>
      <c r="AH61" s="1634">
        <v>0</v>
      </c>
    </row>
    <row s="1638" customFormat="1" customHeight="1" ht="0.75" hidden="1">
      <c r="A62" s="1782"/>
      <c r="B62" s="1782"/>
      <c r="C62" s="372" t="s">
        <v>1211</v>
      </c>
      <c r="D62" s="2484"/>
      <c r="E62" s="2226"/>
      <c r="F62" s="2405"/>
      <c r="G62" s="403"/>
      <c r="H62" s="1503"/>
      <c r="I62" s="654"/>
      <c r="J62" s="574"/>
      <c r="K62" s="1503"/>
      <c r="L62" s="217"/>
      <c r="M62" s="2192"/>
      <c r="N62" s="337"/>
      <c r="O62" s="1627"/>
      <c r="P62" s="1627"/>
      <c r="AH62" s="1634">
        <v>0</v>
      </c>
    </row>
    <row s="1638" customFormat="1" customHeight="1" ht="18.75" hidden="1">
      <c r="A63" s="1782" t="s">
        <v>246</v>
      </c>
      <c r="B63" s="1782" t="s">
        <v>247</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307</v>
      </c>
      <c r="M63" s="2192"/>
      <c r="N63" s="337"/>
      <c r="O63" s="1627"/>
      <c r="P63" s="1627"/>
      <c r="AH63" s="1634">
        <v>0</v>
      </c>
    </row>
    <row s="1638" customFormat="1" customHeight="1" ht="18.75" hidden="1">
      <c r="A64" s="1782"/>
      <c r="B64" s="1782"/>
      <c r="C64" s="372" t="s">
        <v>1205</v>
      </c>
      <c r="D64" s="2484"/>
      <c r="E64" s="2226"/>
      <c r="F64" s="2405"/>
      <c r="G64" s="2449"/>
      <c r="H64" s="1503"/>
      <c r="I64" s="654" t="s">
        <v>1206</v>
      </c>
      <c r="J64" s="574"/>
      <c r="K64" s="1503"/>
      <c r="L64" s="217"/>
      <c r="M64" s="2192"/>
      <c r="N64" s="337"/>
      <c r="O64" s="1627"/>
      <c r="P64" s="1627"/>
      <c r="AH64" s="1634">
        <v>0</v>
      </c>
    </row>
    <row s="1638" customFormat="1" customHeight="1" ht="0.75" hidden="1">
      <c r="A65" s="1782"/>
      <c r="B65" s="1782"/>
      <c r="C65" s="372" t="s">
        <v>1211</v>
      </c>
      <c r="D65" s="2484"/>
      <c r="E65" s="2226"/>
      <c r="F65" s="2405"/>
      <c r="G65" s="403"/>
      <c r="H65" s="1503"/>
      <c r="I65" s="654"/>
      <c r="J65" s="574"/>
      <c r="K65" s="1503"/>
      <c r="L65" s="217"/>
      <c r="M65" s="2192"/>
      <c r="N65" s="337"/>
      <c r="O65" s="1627"/>
      <c r="P65" s="1627"/>
      <c r="AH65" s="1634">
        <v>0</v>
      </c>
    </row>
    <row s="1638" customFormat="1" customHeight="1" ht="18.75" hidden="1">
      <c r="A66" s="1782" t="s">
        <v>251</v>
      </c>
      <c r="B66" s="1782" t="s">
        <v>252</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307</v>
      </c>
      <c r="M66" s="2192"/>
      <c r="N66" s="337"/>
      <c r="O66" s="1627"/>
      <c r="P66" s="1627"/>
      <c r="AH66" s="1634">
        <v>0</v>
      </c>
    </row>
    <row s="1638" customFormat="1" customHeight="1" ht="18.75" hidden="1">
      <c r="A67" s="1782"/>
      <c r="B67" s="1782"/>
      <c r="C67" s="372" t="s">
        <v>1205</v>
      </c>
      <c r="D67" s="2484"/>
      <c r="E67" s="2226"/>
      <c r="F67" s="2405"/>
      <c r="G67" s="2449"/>
      <c r="H67" s="1503"/>
      <c r="I67" s="654" t="s">
        <v>1206</v>
      </c>
      <c r="J67" s="574"/>
      <c r="K67" s="1503"/>
      <c r="L67" s="217"/>
      <c r="M67" s="2192"/>
      <c r="N67" s="337"/>
      <c r="O67" s="1627"/>
      <c r="P67" s="1627"/>
      <c r="AH67" s="1634">
        <v>0</v>
      </c>
    </row>
    <row s="1638" customFormat="1" customHeight="1" ht="0.75" hidden="1">
      <c r="A68" s="1782"/>
      <c r="B68" s="1782"/>
      <c r="C68" s="372" t="s">
        <v>1211</v>
      </c>
      <c r="D68" s="2484"/>
      <c r="E68" s="2226"/>
      <c r="F68" s="2405"/>
      <c r="G68" s="403"/>
      <c r="H68" s="1503"/>
      <c r="I68" s="654"/>
      <c r="J68" s="574"/>
      <c r="K68" s="1503"/>
      <c r="L68" s="217"/>
      <c r="M68" s="2192"/>
      <c r="N68" s="337"/>
      <c r="O68" s="1627"/>
      <c r="P68" s="1627"/>
      <c r="AH68" s="1634">
        <v>0</v>
      </c>
    </row>
    <row s="1638" customFormat="1" customHeight="1" ht="18.75" hidden="1">
      <c r="A69" s="1782" t="s">
        <v>256</v>
      </c>
      <c r="B69" s="1782" t="s">
        <v>257</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307</v>
      </c>
      <c r="M69" s="2192"/>
      <c r="N69" s="337"/>
      <c r="O69" s="1627"/>
      <c r="P69" s="1627"/>
      <c r="AH69" s="1634">
        <v>0</v>
      </c>
    </row>
    <row s="1638" customFormat="1" customHeight="1" ht="18.75" hidden="1">
      <c r="A70" s="1782"/>
      <c r="B70" s="1782"/>
      <c r="C70" s="372" t="s">
        <v>1205</v>
      </c>
      <c r="D70" s="2484"/>
      <c r="E70" s="2226"/>
      <c r="F70" s="2405"/>
      <c r="G70" s="2449"/>
      <c r="H70" s="1503"/>
      <c r="I70" s="654" t="s">
        <v>1206</v>
      </c>
      <c r="J70" s="574"/>
      <c r="K70" s="1503"/>
      <c r="L70" s="217"/>
      <c r="M70" s="2192"/>
      <c r="N70" s="337"/>
      <c r="O70" s="1627"/>
      <c r="P70" s="1627"/>
      <c r="AH70" s="1634">
        <v>0</v>
      </c>
    </row>
    <row s="1638" customFormat="1" customHeight="1" ht="0.75" hidden="1">
      <c r="A71" s="1782"/>
      <c r="B71" s="1782"/>
      <c r="C71" s="372" t="s">
        <v>1211</v>
      </c>
      <c r="D71" s="2484"/>
      <c r="E71" s="2226"/>
      <c r="F71" s="2405"/>
      <c r="G71" s="403"/>
      <c r="H71" s="1503"/>
      <c r="I71" s="654"/>
      <c r="J71" s="574"/>
      <c r="K71" s="1503"/>
      <c r="L71" s="217"/>
      <c r="M71" s="2192"/>
      <c r="N71" s="337"/>
      <c r="O71" s="1627"/>
      <c r="P71" s="1627"/>
      <c r="AH71" s="1634">
        <v>0</v>
      </c>
    </row>
    <row s="1638" customFormat="1" customHeight="1" ht="18.75" hidden="1">
      <c r="A72" s="1782" t="s">
        <v>261</v>
      </c>
      <c r="B72" s="1782" t="s">
        <v>262</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307</v>
      </c>
      <c r="M72" s="2192"/>
      <c r="N72" s="337"/>
      <c r="O72" s="1627"/>
      <c r="P72" s="1627"/>
      <c r="AH72" s="1634">
        <v>0</v>
      </c>
    </row>
    <row s="1638" customFormat="1" customHeight="1" ht="18.75" hidden="1">
      <c r="A73" s="1782"/>
      <c r="B73" s="1782"/>
      <c r="C73" s="372" t="s">
        <v>1205</v>
      </c>
      <c r="D73" s="2484"/>
      <c r="E73" s="2226"/>
      <c r="F73" s="2405"/>
      <c r="G73" s="2449"/>
      <c r="H73" s="1503"/>
      <c r="I73" s="654" t="s">
        <v>1206</v>
      </c>
      <c r="J73" s="574"/>
      <c r="K73" s="1503"/>
      <c r="L73" s="217"/>
      <c r="M73" s="2192"/>
      <c r="N73" s="337"/>
      <c r="O73" s="1627"/>
      <c r="P73" s="1627"/>
      <c r="AH73" s="1634">
        <v>0</v>
      </c>
    </row>
    <row s="1638" customFormat="1" customHeight="1" ht="0.75" hidden="1">
      <c r="A74" s="1782"/>
      <c r="B74" s="1782"/>
      <c r="C74" s="372" t="s">
        <v>1211</v>
      </c>
      <c r="D74" s="2484"/>
      <c r="E74" s="2226"/>
      <c r="F74" s="2405"/>
      <c r="G74" s="403"/>
      <c r="H74" s="1503"/>
      <c r="I74" s="654"/>
      <c r="J74" s="574"/>
      <c r="K74" s="1503"/>
      <c r="L74" s="217"/>
      <c r="M74" s="2192"/>
      <c r="N74" s="337"/>
      <c r="O74" s="1627"/>
      <c r="P74" s="1627"/>
      <c r="AH74" s="1634">
        <v>0</v>
      </c>
    </row>
    <row s="1638" customFormat="1" customHeight="1" ht="18.75" hidden="1">
      <c r="A75" s="1782" t="s">
        <v>266</v>
      </c>
      <c r="B75" s="1782" t="s">
        <v>267</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307</v>
      </c>
      <c r="M75" s="2192"/>
      <c r="N75" s="337"/>
      <c r="O75" s="1627"/>
      <c r="P75" s="1627"/>
      <c r="AH75" s="1634">
        <v>0</v>
      </c>
    </row>
    <row s="1638" customFormat="1" customHeight="1" ht="18.75" hidden="1">
      <c r="A76" s="1782"/>
      <c r="B76" s="1782"/>
      <c r="C76" s="372" t="s">
        <v>1205</v>
      </c>
      <c r="D76" s="2484"/>
      <c r="E76" s="2226"/>
      <c r="F76" s="2405"/>
      <c r="G76" s="2449"/>
      <c r="H76" s="1503"/>
      <c r="I76" s="654" t="s">
        <v>1206</v>
      </c>
      <c r="J76" s="574"/>
      <c r="K76" s="1503"/>
      <c r="L76" s="217"/>
      <c r="M76" s="2192"/>
      <c r="N76" s="337"/>
      <c r="O76" s="1627"/>
      <c r="P76" s="1627"/>
      <c r="AH76" s="1634">
        <v>0</v>
      </c>
    </row>
    <row s="1638" customFormat="1" customHeight="1" ht="0.75" hidden="1">
      <c r="A77" s="1782"/>
      <c r="B77" s="1782"/>
      <c r="C77" s="372" t="s">
        <v>1211</v>
      </c>
      <c r="D77" s="2484"/>
      <c r="E77" s="2226"/>
      <c r="F77" s="2405"/>
      <c r="G77" s="403"/>
      <c r="H77" s="1503"/>
      <c r="I77" s="654"/>
      <c r="J77" s="574"/>
      <c r="K77" s="1503"/>
      <c r="L77" s="217"/>
      <c r="M77" s="2192"/>
      <c r="N77" s="337"/>
      <c r="O77" s="1627"/>
      <c r="P77" s="1627"/>
      <c r="AH77" s="1634">
        <v>0</v>
      </c>
    </row>
    <row s="1638" customFormat="1" customHeight="1" ht="18.75" hidden="1">
      <c r="A78" s="1782" t="s">
        <v>271</v>
      </c>
      <c r="B78" s="1782" t="s">
        <v>272</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307</v>
      </c>
      <c r="M78" s="2192"/>
      <c r="N78" s="337"/>
      <c r="O78" s="1627"/>
      <c r="P78" s="1627"/>
      <c r="AH78" s="1634">
        <v>0</v>
      </c>
    </row>
    <row s="1638" customFormat="1" customHeight="1" ht="18.75" hidden="1">
      <c r="A79" s="1782"/>
      <c r="B79" s="1782"/>
      <c r="C79" s="372" t="s">
        <v>1205</v>
      </c>
      <c r="D79" s="2484"/>
      <c r="E79" s="2226"/>
      <c r="F79" s="2405"/>
      <c r="G79" s="2449"/>
      <c r="H79" s="1503"/>
      <c r="I79" s="654" t="s">
        <v>1206</v>
      </c>
      <c r="J79" s="574"/>
      <c r="K79" s="1503"/>
      <c r="L79" s="217"/>
      <c r="M79" s="2192"/>
      <c r="N79" s="337"/>
      <c r="O79" s="1627"/>
      <c r="P79" s="1627"/>
      <c r="AH79" s="1634">
        <v>0</v>
      </c>
    </row>
    <row s="1638" customFormat="1" customHeight="1" ht="0.75" hidden="1">
      <c r="A80" s="1782"/>
      <c r="B80" s="1782"/>
      <c r="C80" s="372" t="s">
        <v>1211</v>
      </c>
      <c r="D80" s="2484"/>
      <c r="E80" s="2226"/>
      <c r="F80" s="2405"/>
      <c r="G80" s="403"/>
      <c r="H80" s="1503"/>
      <c r="I80" s="654"/>
      <c r="J80" s="574"/>
      <c r="K80" s="1503"/>
      <c r="L80" s="217"/>
      <c r="M80" s="2192"/>
      <c r="N80" s="337"/>
      <c r="O80" s="1627"/>
      <c r="P80" s="1627"/>
      <c r="AH80" s="1634">
        <v>0</v>
      </c>
    </row>
    <row s="1638" customFormat="1" customHeight="1" ht="18.75" hidden="1">
      <c r="A81" s="1782" t="s">
        <v>276</v>
      </c>
      <c r="B81" s="1782" t="s">
        <v>277</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307</v>
      </c>
      <c r="M81" s="2192"/>
      <c r="N81" s="337"/>
      <c r="O81" s="1627"/>
      <c r="P81" s="1627"/>
      <c r="AH81" s="1634">
        <v>0</v>
      </c>
    </row>
    <row s="1638" customFormat="1" customHeight="1" ht="18.75" hidden="1">
      <c r="A82" s="1782"/>
      <c r="B82" s="1782"/>
      <c r="C82" s="372" t="s">
        <v>1205</v>
      </c>
      <c r="D82" s="2484"/>
      <c r="E82" s="2226"/>
      <c r="F82" s="2405"/>
      <c r="G82" s="2449"/>
      <c r="H82" s="1503"/>
      <c r="I82" s="654" t="s">
        <v>1206</v>
      </c>
      <c r="J82" s="574"/>
      <c r="K82" s="1503"/>
      <c r="L82" s="217"/>
      <c r="M82" s="2192"/>
      <c r="N82" s="337"/>
      <c r="O82" s="1627"/>
      <c r="P82" s="1627"/>
      <c r="AH82" s="1634">
        <v>0</v>
      </c>
    </row>
    <row s="1638" customFormat="1" customHeight="1" ht="1.05">
      <c r="A83" s="1782"/>
      <c r="B83" s="1782"/>
      <c r="C83" s="372" t="s">
        <v>1211</v>
      </c>
      <c r="D83" s="2484"/>
      <c r="E83" s="2226"/>
      <c r="F83" s="2405"/>
      <c r="G83" s="403"/>
      <c r="H83" s="1503"/>
      <c r="I83" s="654"/>
      <c r="J83" s="574"/>
      <c r="K83" s="1503"/>
      <c r="L83" s="217"/>
      <c r="M83" s="2192"/>
      <c r="N83" s="337"/>
      <c r="O83" s="1627"/>
      <c r="P83" s="1627"/>
      <c r="AH83" s="1634">
        <v>1</v>
      </c>
    </row>
    <row customHeight="1" ht="19.95">
      <c r="A84" s="1782"/>
      <c r="B84" s="1782"/>
      <c r="D84" s="379"/>
      <c r="E84" s="150" t="s">
        <v>109</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2"/>
      <c r="H84" s="2482"/>
      <c r="I84" s="2482"/>
      <c r="J84" s="2482"/>
      <c r="K84" s="2482"/>
      <c r="L84" s="2482"/>
      <c r="M84" s="300"/>
      <c r="N84" s="337"/>
      <c r="AH84" s="377">
        <v>19</v>
      </c>
    </row>
    <row customHeight="1" ht="35.699999999999996">
      <c r="A85" s="1782"/>
      <c r="B85" s="1782"/>
      <c r="D85" s="379"/>
      <c r="E85" s="402"/>
      <c r="F85" s="201" t="s">
        <v>307</v>
      </c>
      <c r="G85" s="201" t="s">
        <v>307</v>
      </c>
      <c r="H85" s="2240" t="s">
        <v>307</v>
      </c>
      <c r="I85" s="2242"/>
      <c r="J85" s="201" t="s">
        <v>307</v>
      </c>
      <c r="K85" s="201" t="s">
        <v>307</v>
      </c>
      <c r="L85" s="404"/>
      <c r="M85" s="348" t="s">
        <v>1212</v>
      </c>
      <c r="N85" s="337"/>
      <c r="AH85" s="377">
        <v>34</v>
      </c>
    </row>
    <row customHeight="1" ht="19.95">
      <c r="A86" s="1782"/>
      <c r="B86" s="1782"/>
      <c r="D86" s="379"/>
      <c r="E86" s="150" t="s">
        <v>90</v>
      </c>
      <c r="F86" s="2482" t="s">
        <v>1213</v>
      </c>
      <c r="G86" s="2482"/>
      <c r="H86" s="2482"/>
      <c r="I86" s="2482"/>
      <c r="J86" s="2482"/>
      <c r="K86" s="2482"/>
      <c r="L86" s="2482"/>
      <c r="M86" s="300"/>
      <c r="N86" s="337"/>
      <c r="AH86" s="377">
        <v>19</v>
      </c>
    </row>
    <row s="1638" customFormat="1" customHeight="1" ht="60.75" hidden="1">
      <c r="A87" s="1782" t="s">
        <v>158</v>
      </c>
      <c r="B87" s="1782" t="s">
        <v>159</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307</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1207</v>
      </c>
      <c r="D88" s="2484"/>
      <c r="E88" s="2226"/>
      <c r="F88" s="2405"/>
      <c r="G88" s="2449"/>
      <c r="H88" s="1503"/>
      <c r="I88" s="654" t="s">
        <v>1206</v>
      </c>
      <c r="J88" s="574"/>
      <c r="K88" s="1503"/>
      <c r="L88" s="217"/>
      <c r="M88" s="2192"/>
      <c r="N88" s="337"/>
      <c r="O88" s="1627"/>
      <c r="P88" s="1627"/>
      <c r="AH88" s="1634">
        <v>0</v>
      </c>
    </row>
    <row s="1638" customFormat="1" customHeight="1" ht="0.75" hidden="1">
      <c r="A89" s="1782"/>
      <c r="B89" s="1782"/>
      <c r="C89" s="372" t="s">
        <v>1214</v>
      </c>
      <c r="D89" s="2484"/>
      <c r="E89" s="2226"/>
      <c r="F89" s="2405"/>
      <c r="G89" s="403"/>
      <c r="H89" s="1503"/>
      <c r="I89" s="654"/>
      <c r="J89" s="574"/>
      <c r="K89" s="1503"/>
      <c r="L89" s="217"/>
      <c r="M89" s="2192"/>
      <c r="N89" s="337"/>
      <c r="O89" s="1627"/>
      <c r="P89" s="1627"/>
      <c r="AH89" s="1634">
        <v>0</v>
      </c>
    </row>
    <row s="1638" customFormat="1" customHeight="1" ht="45" hidden="1">
      <c r="A90" s="1782" t="s">
        <v>163</v>
      </c>
      <c r="B90" s="1782" t="s">
        <v>164</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307</v>
      </c>
      <c r="M90" s="2193"/>
      <c r="N90" s="337"/>
      <c r="O90" s="1627"/>
      <c r="P90" s="1627"/>
      <c r="AH90" s="1634">
        <v>0</v>
      </c>
    </row>
    <row s="1638" customFormat="1" customHeight="1" ht="18.75" hidden="1">
      <c r="A91" s="1782"/>
      <c r="B91" s="1782"/>
      <c r="C91" s="372" t="s">
        <v>1207</v>
      </c>
      <c r="D91" s="2484"/>
      <c r="E91" s="2226"/>
      <c r="F91" s="2405"/>
      <c r="G91" s="2449"/>
      <c r="H91" s="1503"/>
      <c r="I91" s="654" t="s">
        <v>1206</v>
      </c>
      <c r="J91" s="574"/>
      <c r="K91" s="1503"/>
      <c r="L91" s="217"/>
      <c r="M91" s="1861"/>
      <c r="N91" s="337"/>
      <c r="O91" s="1627"/>
      <c r="P91" s="1627"/>
      <c r="AH91" s="1634">
        <v>0</v>
      </c>
    </row>
    <row s="1638" customFormat="1" customHeight="1" ht="0.75" hidden="1">
      <c r="A92" s="1782"/>
      <c r="B92" s="1782"/>
      <c r="C92" s="372" t="s">
        <v>1214</v>
      </c>
      <c r="D92" s="2484"/>
      <c r="E92" s="2226"/>
      <c r="F92" s="2405"/>
      <c r="G92" s="403"/>
      <c r="H92" s="1503"/>
      <c r="I92" s="654"/>
      <c r="J92" s="574"/>
      <c r="K92" s="1503"/>
      <c r="L92" s="217"/>
      <c r="M92" s="344"/>
      <c r="N92" s="337"/>
      <c r="O92" s="1627"/>
      <c r="P92" s="1627"/>
      <c r="AH92" s="1634">
        <v>0</v>
      </c>
    </row>
    <row s="1638" customFormat="1" customHeight="1" ht="45" hidden="1">
      <c r="A93" s="1782" t="s">
        <v>170</v>
      </c>
      <c r="B93" s="1782" t="s">
        <v>171</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307</v>
      </c>
      <c r="M93" s="344"/>
      <c r="N93" s="337"/>
      <c r="O93" s="1627"/>
      <c r="P93" s="1627"/>
      <c r="AH93" s="1634">
        <v>0</v>
      </c>
    </row>
    <row s="1638" customFormat="1" customHeight="1" ht="18.75" hidden="1">
      <c r="A94" s="1782"/>
      <c r="B94" s="1782"/>
      <c r="C94" s="372" t="s">
        <v>1207</v>
      </c>
      <c r="D94" s="2484"/>
      <c r="E94" s="2226"/>
      <c r="F94" s="2405"/>
      <c r="G94" s="2449"/>
      <c r="H94" s="1503"/>
      <c r="I94" s="654" t="s">
        <v>1206</v>
      </c>
      <c r="J94" s="574"/>
      <c r="K94" s="1503"/>
      <c r="L94" s="217"/>
      <c r="M94" s="344"/>
      <c r="N94" s="337"/>
      <c r="O94" s="1627"/>
      <c r="P94" s="1627"/>
      <c r="AH94" s="1634">
        <v>0</v>
      </c>
    </row>
    <row s="1638" customFormat="1" customHeight="1" ht="0.75" hidden="1">
      <c r="A95" s="1782"/>
      <c r="B95" s="1782"/>
      <c r="C95" s="372" t="s">
        <v>1214</v>
      </c>
      <c r="D95" s="2484"/>
      <c r="E95" s="2226"/>
      <c r="F95" s="2405"/>
      <c r="G95" s="403"/>
      <c r="H95" s="1503"/>
      <c r="I95" s="654"/>
      <c r="J95" s="574"/>
      <c r="K95" s="1503"/>
      <c r="L95" s="217"/>
      <c r="M95" s="344"/>
      <c r="N95" s="337"/>
      <c r="O95" s="1627"/>
      <c r="P95" s="1627"/>
      <c r="AH95" s="1634">
        <v>0</v>
      </c>
    </row>
    <row s="1638" customFormat="1" customHeight="1" ht="45" hidden="1">
      <c r="A96" s="1782" t="s">
        <v>176</v>
      </c>
      <c r="B96" s="1782" t="s">
        <v>177</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307</v>
      </c>
      <c r="M96" s="344"/>
      <c r="N96" s="337"/>
      <c r="O96" s="1627"/>
      <c r="P96" s="1627"/>
      <c r="AH96" s="1634">
        <v>0</v>
      </c>
    </row>
    <row s="1638" customFormat="1" customHeight="1" ht="18.75" hidden="1">
      <c r="A97" s="1782"/>
      <c r="B97" s="1782"/>
      <c r="C97" s="372" t="s">
        <v>1207</v>
      </c>
      <c r="D97" s="2484"/>
      <c r="E97" s="2226"/>
      <c r="F97" s="2405"/>
      <c r="G97" s="2449"/>
      <c r="H97" s="1503"/>
      <c r="I97" s="654" t="s">
        <v>1206</v>
      </c>
      <c r="J97" s="574"/>
      <c r="K97" s="1503"/>
      <c r="L97" s="217"/>
      <c r="M97" s="344"/>
      <c r="N97" s="337"/>
      <c r="O97" s="1627"/>
      <c r="P97" s="1627"/>
      <c r="AH97" s="1634">
        <v>0</v>
      </c>
    </row>
    <row s="1638" customFormat="1" customHeight="1" ht="0.75" hidden="1">
      <c r="A98" s="1782"/>
      <c r="B98" s="1782"/>
      <c r="C98" s="372" t="s">
        <v>1214</v>
      </c>
      <c r="D98" s="2484"/>
      <c r="E98" s="2226"/>
      <c r="F98" s="2405"/>
      <c r="G98" s="403"/>
      <c r="H98" s="1503"/>
      <c r="I98" s="654"/>
      <c r="J98" s="574"/>
      <c r="K98" s="1503"/>
      <c r="L98" s="217"/>
      <c r="M98" s="344"/>
      <c r="N98" s="337"/>
      <c r="O98" s="1627"/>
      <c r="P98" s="1627"/>
      <c r="AH98" s="1634">
        <v>0</v>
      </c>
    </row>
    <row s="1638" customFormat="1" customHeight="1" ht="18.75" hidden="1">
      <c r="A99" s="1782" t="s">
        <v>182</v>
      </c>
      <c r="B99" s="1782" t="s">
        <v>183</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307</v>
      </c>
      <c r="M99" s="344"/>
      <c r="N99" s="337"/>
      <c r="O99" s="1627"/>
      <c r="P99" s="1627"/>
      <c r="AH99" s="1634">
        <v>0</v>
      </c>
    </row>
    <row s="1638" customFormat="1" customHeight="1" ht="18.75" hidden="1">
      <c r="A100" s="1782"/>
      <c r="B100" s="1782"/>
      <c r="C100" s="372" t="s">
        <v>1207</v>
      </c>
      <c r="D100" s="2484"/>
      <c r="E100" s="2226"/>
      <c r="F100" s="2405"/>
      <c r="G100" s="2449"/>
      <c r="H100" s="1503"/>
      <c r="I100" s="654" t="s">
        <v>1206</v>
      </c>
      <c r="J100" s="574"/>
      <c r="K100" s="1503"/>
      <c r="L100" s="217"/>
      <c r="M100" s="344"/>
      <c r="N100" s="337"/>
      <c r="O100" s="1627"/>
      <c r="P100" s="1627"/>
      <c r="AH100" s="1634">
        <v>0</v>
      </c>
    </row>
    <row s="1638" customFormat="1" customHeight="1" ht="0.75" hidden="1">
      <c r="A101" s="1782"/>
      <c r="B101" s="1782"/>
      <c r="C101" s="372" t="s">
        <v>1214</v>
      </c>
      <c r="D101" s="2484"/>
      <c r="E101" s="2226"/>
      <c r="F101" s="2405"/>
      <c r="G101" s="403"/>
      <c r="H101" s="1503"/>
      <c r="I101" s="654"/>
      <c r="J101" s="574"/>
      <c r="K101" s="1503"/>
      <c r="L101" s="217"/>
      <c r="M101" s="344"/>
      <c r="N101" s="337"/>
      <c r="O101" s="1627"/>
      <c r="P101" s="1627"/>
      <c r="AH101" s="1634">
        <v>0</v>
      </c>
    </row>
    <row s="1638" customFormat="1" customHeight="1" ht="18.75" hidden="1">
      <c r="A102" s="1782" t="s">
        <v>188</v>
      </c>
      <c r="B102" s="1782" t="s">
        <v>189</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307</v>
      </c>
      <c r="M102" s="344"/>
      <c r="N102" s="337"/>
      <c r="O102" s="1627"/>
      <c r="P102" s="1627"/>
      <c r="AH102" s="1634">
        <v>0</v>
      </c>
    </row>
    <row s="1638" customFormat="1" customHeight="1" ht="18.75" hidden="1">
      <c r="A103" s="1782"/>
      <c r="B103" s="1782"/>
      <c r="C103" s="372" t="s">
        <v>1207</v>
      </c>
      <c r="D103" s="2484"/>
      <c r="E103" s="2226"/>
      <c r="F103" s="2405"/>
      <c r="G103" s="2449"/>
      <c r="H103" s="1503"/>
      <c r="I103" s="654" t="s">
        <v>1206</v>
      </c>
      <c r="J103" s="574"/>
      <c r="K103" s="1503"/>
      <c r="L103" s="217"/>
      <c r="M103" s="344"/>
      <c r="N103" s="337"/>
      <c r="O103" s="1627"/>
      <c r="P103" s="1627"/>
      <c r="AH103" s="1634">
        <v>0</v>
      </c>
    </row>
    <row s="1638" customFormat="1" customHeight="1" ht="0.75" hidden="1">
      <c r="A104" s="1782"/>
      <c r="B104" s="1782"/>
      <c r="C104" s="372" t="s">
        <v>1214</v>
      </c>
      <c r="D104" s="2484"/>
      <c r="E104" s="2226"/>
      <c r="F104" s="2405"/>
      <c r="G104" s="403"/>
      <c r="H104" s="1503"/>
      <c r="I104" s="654"/>
      <c r="J104" s="574"/>
      <c r="K104" s="1503"/>
      <c r="L104" s="217"/>
      <c r="M104" s="344"/>
      <c r="N104" s="337"/>
      <c r="O104" s="1627"/>
      <c r="P104" s="1627"/>
      <c r="AH104" s="1634">
        <v>0</v>
      </c>
    </row>
    <row s="1638" customFormat="1" customHeight="1" ht="18.75" hidden="1">
      <c r="A105" s="1782" t="s">
        <v>194</v>
      </c>
      <c r="B105" s="1782" t="s">
        <v>195</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307</v>
      </c>
      <c r="M105" s="344"/>
      <c r="N105" s="337"/>
      <c r="O105" s="1627"/>
      <c r="P105" s="1627"/>
      <c r="AH105" s="1634">
        <v>0</v>
      </c>
    </row>
    <row s="1638" customFormat="1" customHeight="1" ht="18.75" hidden="1">
      <c r="A106" s="1782"/>
      <c r="B106" s="1782"/>
      <c r="C106" s="372" t="s">
        <v>1207</v>
      </c>
      <c r="D106" s="2484"/>
      <c r="E106" s="2226"/>
      <c r="F106" s="2405"/>
      <c r="G106" s="2449"/>
      <c r="H106" s="1503"/>
      <c r="I106" s="654" t="s">
        <v>1206</v>
      </c>
      <c r="J106" s="574"/>
      <c r="K106" s="1503"/>
      <c r="L106" s="217"/>
      <c r="M106" s="344"/>
      <c r="N106" s="337"/>
      <c r="O106" s="1627"/>
      <c r="P106" s="1627"/>
      <c r="AH106" s="1634">
        <v>0</v>
      </c>
    </row>
    <row s="1638" customFormat="1" customHeight="1" ht="0.75" hidden="1">
      <c r="A107" s="1782"/>
      <c r="B107" s="1782"/>
      <c r="C107" s="372" t="s">
        <v>1214</v>
      </c>
      <c r="D107" s="2484"/>
      <c r="E107" s="2226"/>
      <c r="F107" s="2405"/>
      <c r="G107" s="403"/>
      <c r="H107" s="1503"/>
      <c r="I107" s="654"/>
      <c r="J107" s="574"/>
      <c r="K107" s="1503"/>
      <c r="L107" s="217"/>
      <c r="M107" s="344"/>
      <c r="N107" s="337"/>
      <c r="O107" s="1627"/>
      <c r="P107" s="1627"/>
      <c r="AH107" s="1634">
        <v>0</v>
      </c>
    </row>
    <row s="1638" customFormat="1" customHeight="1" ht="18.75" hidden="1">
      <c r="A108" s="1782" t="s">
        <v>200</v>
      </c>
      <c r="B108" s="1782" t="s">
        <v>201</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307</v>
      </c>
      <c r="M108" s="344"/>
      <c r="N108" s="337"/>
      <c r="O108" s="1627"/>
      <c r="P108" s="1627"/>
      <c r="AH108" s="1634">
        <v>0</v>
      </c>
    </row>
    <row s="1638" customFormat="1" customHeight="1" ht="18.75" hidden="1">
      <c r="A109" s="1782"/>
      <c r="B109" s="1782"/>
      <c r="C109" s="372" t="s">
        <v>1207</v>
      </c>
      <c r="D109" s="2484"/>
      <c r="E109" s="2226"/>
      <c r="F109" s="2405"/>
      <c r="G109" s="2449"/>
      <c r="H109" s="1503"/>
      <c r="I109" s="654" t="s">
        <v>1206</v>
      </c>
      <c r="J109" s="574"/>
      <c r="K109" s="1503"/>
      <c r="L109" s="217"/>
      <c r="M109" s="344"/>
      <c r="N109" s="337"/>
      <c r="O109" s="1627"/>
      <c r="P109" s="1627"/>
      <c r="AH109" s="1634">
        <v>0</v>
      </c>
    </row>
    <row s="1638" customFormat="1" customHeight="1" ht="0.75" hidden="1">
      <c r="A110" s="1782"/>
      <c r="B110" s="1782"/>
      <c r="C110" s="372" t="s">
        <v>1214</v>
      </c>
      <c r="D110" s="2484"/>
      <c r="E110" s="2226"/>
      <c r="F110" s="2405"/>
      <c r="G110" s="403"/>
      <c r="H110" s="1503"/>
      <c r="I110" s="654"/>
      <c r="J110" s="574"/>
      <c r="K110" s="1503"/>
      <c r="L110" s="217"/>
      <c r="M110" s="344"/>
      <c r="N110" s="337"/>
      <c r="O110" s="1627"/>
      <c r="P110" s="1627"/>
      <c r="AH110" s="1634">
        <v>0</v>
      </c>
    </row>
    <row s="1638" customFormat="1" customHeight="1" ht="18.75" hidden="1">
      <c r="A111" s="1782" t="s">
        <v>206</v>
      </c>
      <c r="B111" s="1782" t="s">
        <v>207</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307</v>
      </c>
      <c r="M111" s="344"/>
      <c r="N111" s="337"/>
      <c r="O111" s="1627"/>
      <c r="P111" s="1627"/>
      <c r="AH111" s="1634">
        <v>0</v>
      </c>
    </row>
    <row s="1638" customFormat="1" customHeight="1" ht="18.75" hidden="1">
      <c r="A112" s="1782"/>
      <c r="B112" s="1782"/>
      <c r="C112" s="372" t="s">
        <v>1207</v>
      </c>
      <c r="D112" s="2484"/>
      <c r="E112" s="2226"/>
      <c r="F112" s="2405"/>
      <c r="G112" s="2449"/>
      <c r="H112" s="1503"/>
      <c r="I112" s="654" t="s">
        <v>1206</v>
      </c>
      <c r="J112" s="574"/>
      <c r="K112" s="1503"/>
      <c r="L112" s="217"/>
      <c r="M112" s="344"/>
      <c r="N112" s="337"/>
      <c r="O112" s="1627"/>
      <c r="P112" s="1627"/>
      <c r="AH112" s="1634">
        <v>0</v>
      </c>
    </row>
    <row s="1638" customFormat="1" customHeight="1" ht="0.75" hidden="1">
      <c r="A113" s="1782"/>
      <c r="B113" s="1782"/>
      <c r="C113" s="372" t="s">
        <v>1214</v>
      </c>
      <c r="D113" s="2484"/>
      <c r="E113" s="2226"/>
      <c r="F113" s="2405"/>
      <c r="G113" s="403"/>
      <c r="H113" s="1503"/>
      <c r="I113" s="654"/>
      <c r="J113" s="574"/>
      <c r="K113" s="1503"/>
      <c r="L113" s="217"/>
      <c r="M113" s="344"/>
      <c r="N113" s="337"/>
      <c r="O113" s="1627"/>
      <c r="P113" s="1627"/>
      <c r="AH113" s="1634">
        <v>0</v>
      </c>
    </row>
    <row s="1638" customFormat="1" customHeight="1" ht="18.75" hidden="1">
      <c r="A114" s="1782" t="s">
        <v>226</v>
      </c>
      <c r="B114" s="1782" t="s">
        <v>227</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307</v>
      </c>
      <c r="M114" s="344"/>
      <c r="N114" s="337"/>
      <c r="O114" s="1627"/>
      <c r="P114" s="1627"/>
      <c r="AH114" s="1634">
        <v>0</v>
      </c>
    </row>
    <row s="1638" customFormat="1" customHeight="1" ht="18.75" hidden="1">
      <c r="A115" s="1782"/>
      <c r="B115" s="1782"/>
      <c r="C115" s="372" t="s">
        <v>1207</v>
      </c>
      <c r="D115" s="2484"/>
      <c r="E115" s="2226"/>
      <c r="F115" s="2405"/>
      <c r="G115" s="2449"/>
      <c r="H115" s="1503"/>
      <c r="I115" s="654" t="s">
        <v>1206</v>
      </c>
      <c r="J115" s="574"/>
      <c r="K115" s="1503"/>
      <c r="L115" s="217"/>
      <c r="M115" s="344"/>
      <c r="N115" s="337"/>
      <c r="O115" s="1627"/>
      <c r="P115" s="1627"/>
      <c r="AH115" s="1634">
        <v>0</v>
      </c>
    </row>
    <row s="1638" customFormat="1" customHeight="1" ht="0.75" hidden="1">
      <c r="A116" s="1782"/>
      <c r="B116" s="1782"/>
      <c r="C116" s="372" t="s">
        <v>1214</v>
      </c>
      <c r="D116" s="2484"/>
      <c r="E116" s="2226"/>
      <c r="F116" s="2405"/>
      <c r="G116" s="403"/>
      <c r="H116" s="1503"/>
      <c r="I116" s="654"/>
      <c r="J116" s="574"/>
      <c r="K116" s="1503"/>
      <c r="L116" s="217"/>
      <c r="M116" s="344"/>
      <c r="N116" s="337"/>
      <c r="O116" s="1627"/>
      <c r="P116" s="1627"/>
      <c r="AH116" s="1634">
        <v>0</v>
      </c>
    </row>
    <row s="1638" customFormat="1" customHeight="1" ht="18.75" hidden="1">
      <c r="A117" s="1782" t="s">
        <v>231</v>
      </c>
      <c r="B117" s="1782" t="s">
        <v>232</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307</v>
      </c>
      <c r="M117" s="344"/>
      <c r="N117" s="337"/>
      <c r="O117" s="1627"/>
      <c r="P117" s="1627"/>
      <c r="AH117" s="1634">
        <v>0</v>
      </c>
    </row>
    <row s="1638" customFormat="1" customHeight="1" ht="18.75" hidden="1">
      <c r="A118" s="1782"/>
      <c r="B118" s="1782"/>
      <c r="C118" s="372" t="s">
        <v>1207</v>
      </c>
      <c r="D118" s="2484"/>
      <c r="E118" s="2226"/>
      <c r="F118" s="2405"/>
      <c r="G118" s="2449"/>
      <c r="H118" s="1503"/>
      <c r="I118" s="654" t="s">
        <v>1206</v>
      </c>
      <c r="J118" s="574"/>
      <c r="K118" s="1503"/>
      <c r="L118" s="217"/>
      <c r="M118" s="344"/>
      <c r="N118" s="337"/>
      <c r="O118" s="1627"/>
      <c r="P118" s="1627"/>
      <c r="AH118" s="1634">
        <v>0</v>
      </c>
    </row>
    <row s="1638" customFormat="1" customHeight="1" ht="0.75" hidden="1">
      <c r="A119" s="1782"/>
      <c r="B119" s="1782"/>
      <c r="C119" s="372" t="s">
        <v>1214</v>
      </c>
      <c r="D119" s="2484"/>
      <c r="E119" s="2226"/>
      <c r="F119" s="2405"/>
      <c r="G119" s="403"/>
      <c r="H119" s="1503"/>
      <c r="I119" s="654"/>
      <c r="J119" s="574"/>
      <c r="K119" s="1503"/>
      <c r="L119" s="217"/>
      <c r="M119" s="344"/>
      <c r="N119" s="337"/>
      <c r="O119" s="1627"/>
      <c r="P119" s="1627"/>
      <c r="AH119" s="1634">
        <v>0</v>
      </c>
    </row>
    <row s="1638" customFormat="1" customHeight="1" ht="18.75" hidden="1">
      <c r="A120" s="1782" t="s">
        <v>236</v>
      </c>
      <c r="B120" s="1782" t="s">
        <v>237</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307</v>
      </c>
      <c r="M120" s="344"/>
      <c r="N120" s="337"/>
      <c r="O120" s="1627"/>
      <c r="P120" s="1627"/>
      <c r="AH120" s="1634">
        <v>0</v>
      </c>
    </row>
    <row s="1638" customFormat="1" customHeight="1" ht="18.75" hidden="1">
      <c r="A121" s="1782"/>
      <c r="B121" s="1782"/>
      <c r="C121" s="372" t="s">
        <v>1207</v>
      </c>
      <c r="D121" s="2484"/>
      <c r="E121" s="2226"/>
      <c r="F121" s="2405"/>
      <c r="G121" s="2449"/>
      <c r="H121" s="1503"/>
      <c r="I121" s="654" t="s">
        <v>1206</v>
      </c>
      <c r="J121" s="574"/>
      <c r="K121" s="1503"/>
      <c r="L121" s="217"/>
      <c r="M121" s="344"/>
      <c r="N121" s="337"/>
      <c r="O121" s="1627"/>
      <c r="P121" s="1627"/>
      <c r="AH121" s="1634">
        <v>0</v>
      </c>
    </row>
    <row s="1638" customFormat="1" customHeight="1" ht="0.75" hidden="1">
      <c r="A122" s="1782"/>
      <c r="B122" s="1782"/>
      <c r="C122" s="372" t="s">
        <v>1214</v>
      </c>
      <c r="D122" s="2484"/>
      <c r="E122" s="2226"/>
      <c r="F122" s="2405"/>
      <c r="G122" s="403"/>
      <c r="H122" s="1503"/>
      <c r="I122" s="654"/>
      <c r="J122" s="574"/>
      <c r="K122" s="1503"/>
      <c r="L122" s="217"/>
      <c r="M122" s="344"/>
      <c r="N122" s="337"/>
      <c r="O122" s="1627"/>
      <c r="P122" s="1627"/>
      <c r="AH122" s="1634">
        <v>0</v>
      </c>
    </row>
    <row s="1638" customFormat="1" customHeight="1" ht="18.75" hidden="1">
      <c r="A123" s="1782" t="s">
        <v>241</v>
      </c>
      <c r="B123" s="1782" t="s">
        <v>242</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307</v>
      </c>
      <c r="M123" s="344"/>
      <c r="N123" s="337"/>
      <c r="O123" s="1627"/>
      <c r="P123" s="1627"/>
      <c r="AH123" s="1634">
        <v>0</v>
      </c>
    </row>
    <row s="1638" customFormat="1" customHeight="1" ht="18.75" hidden="1">
      <c r="A124" s="1782"/>
      <c r="B124" s="1782"/>
      <c r="C124" s="372" t="s">
        <v>1207</v>
      </c>
      <c r="D124" s="2484"/>
      <c r="E124" s="2226"/>
      <c r="F124" s="2405"/>
      <c r="G124" s="2449"/>
      <c r="H124" s="1503"/>
      <c r="I124" s="654" t="s">
        <v>1206</v>
      </c>
      <c r="J124" s="574"/>
      <c r="K124" s="1503"/>
      <c r="L124" s="217"/>
      <c r="M124" s="344"/>
      <c r="N124" s="337"/>
      <c r="O124" s="1627"/>
      <c r="P124" s="1627"/>
      <c r="AH124" s="1634">
        <v>0</v>
      </c>
    </row>
    <row s="1638" customFormat="1" customHeight="1" ht="0.75" hidden="1">
      <c r="A125" s="1782"/>
      <c r="B125" s="1782"/>
      <c r="C125" s="372" t="s">
        <v>1214</v>
      </c>
      <c r="D125" s="2484"/>
      <c r="E125" s="2226"/>
      <c r="F125" s="2405"/>
      <c r="G125" s="403"/>
      <c r="H125" s="1503"/>
      <c r="I125" s="654"/>
      <c r="J125" s="574"/>
      <c r="K125" s="1503"/>
      <c r="L125" s="217"/>
      <c r="M125" s="344"/>
      <c r="N125" s="337"/>
      <c r="O125" s="1627"/>
      <c r="P125" s="1627"/>
      <c r="AH125" s="1634">
        <v>0</v>
      </c>
    </row>
    <row s="1638" customFormat="1" customHeight="1" ht="18.75" hidden="1">
      <c r="A126" s="1782" t="s">
        <v>246</v>
      </c>
      <c r="B126" s="1782" t="s">
        <v>247</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307</v>
      </c>
      <c r="M126" s="344"/>
      <c r="N126" s="337"/>
      <c r="O126" s="1627"/>
      <c r="P126" s="1627"/>
      <c r="AH126" s="1634">
        <v>0</v>
      </c>
    </row>
    <row s="1638" customFormat="1" customHeight="1" ht="18.75" hidden="1">
      <c r="A127" s="1782"/>
      <c r="B127" s="1782"/>
      <c r="C127" s="372" t="s">
        <v>1207</v>
      </c>
      <c r="D127" s="2484"/>
      <c r="E127" s="2226"/>
      <c r="F127" s="2405"/>
      <c r="G127" s="2449"/>
      <c r="H127" s="1503"/>
      <c r="I127" s="654" t="s">
        <v>1206</v>
      </c>
      <c r="J127" s="574"/>
      <c r="K127" s="1503"/>
      <c r="L127" s="217"/>
      <c r="M127" s="344"/>
      <c r="N127" s="337"/>
      <c r="O127" s="1627"/>
      <c r="P127" s="1627"/>
      <c r="AH127" s="1634">
        <v>0</v>
      </c>
    </row>
    <row s="1638" customFormat="1" customHeight="1" ht="0.75" hidden="1">
      <c r="A128" s="1782"/>
      <c r="B128" s="1782"/>
      <c r="C128" s="372" t="s">
        <v>1214</v>
      </c>
      <c r="D128" s="2484"/>
      <c r="E128" s="2226"/>
      <c r="F128" s="2405"/>
      <c r="G128" s="403"/>
      <c r="H128" s="1503"/>
      <c r="I128" s="654"/>
      <c r="J128" s="574"/>
      <c r="K128" s="1503"/>
      <c r="L128" s="217"/>
      <c r="M128" s="344"/>
      <c r="N128" s="337"/>
      <c r="O128" s="1627"/>
      <c r="P128" s="1627"/>
      <c r="AH128" s="1634">
        <v>0</v>
      </c>
    </row>
    <row s="1638" customFormat="1" customHeight="1" ht="18.75" hidden="1">
      <c r="A129" s="1782" t="s">
        <v>251</v>
      </c>
      <c r="B129" s="1782" t="s">
        <v>252</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307</v>
      </c>
      <c r="M129" s="344"/>
      <c r="N129" s="337"/>
      <c r="O129" s="1627"/>
      <c r="P129" s="1627"/>
      <c r="AH129" s="1634">
        <v>0</v>
      </c>
    </row>
    <row s="1638" customFormat="1" customHeight="1" ht="18.75" hidden="1">
      <c r="A130" s="1782"/>
      <c r="B130" s="1782"/>
      <c r="C130" s="372" t="s">
        <v>1207</v>
      </c>
      <c r="D130" s="2484"/>
      <c r="E130" s="2226"/>
      <c r="F130" s="2405"/>
      <c r="G130" s="2449"/>
      <c r="H130" s="1503"/>
      <c r="I130" s="654" t="s">
        <v>1206</v>
      </c>
      <c r="J130" s="574"/>
      <c r="K130" s="1503"/>
      <c r="L130" s="217"/>
      <c r="M130" s="344"/>
      <c r="N130" s="337"/>
      <c r="O130" s="1627"/>
      <c r="P130" s="1627"/>
      <c r="AH130" s="1634">
        <v>0</v>
      </c>
    </row>
    <row s="1638" customFormat="1" customHeight="1" ht="0.75" hidden="1">
      <c r="A131" s="1782"/>
      <c r="B131" s="1782"/>
      <c r="C131" s="372" t="s">
        <v>1214</v>
      </c>
      <c r="D131" s="2484"/>
      <c r="E131" s="2226"/>
      <c r="F131" s="2405"/>
      <c r="G131" s="403"/>
      <c r="H131" s="1503"/>
      <c r="I131" s="654"/>
      <c r="J131" s="574"/>
      <c r="K131" s="1503"/>
      <c r="L131" s="217"/>
      <c r="M131" s="344"/>
      <c r="N131" s="337"/>
      <c r="O131" s="1627"/>
      <c r="P131" s="1627"/>
      <c r="AH131" s="1634">
        <v>0</v>
      </c>
    </row>
    <row s="1638" customFormat="1" customHeight="1" ht="18.75" hidden="1">
      <c r="A132" s="1782" t="s">
        <v>256</v>
      </c>
      <c r="B132" s="1782" t="s">
        <v>257</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307</v>
      </c>
      <c r="M132" s="344"/>
      <c r="N132" s="337"/>
      <c r="O132" s="1627"/>
      <c r="P132" s="1627"/>
      <c r="AH132" s="1634">
        <v>0</v>
      </c>
    </row>
    <row s="1638" customFormat="1" customHeight="1" ht="18.75" hidden="1">
      <c r="A133" s="1782"/>
      <c r="B133" s="1782"/>
      <c r="C133" s="372" t="s">
        <v>1207</v>
      </c>
      <c r="D133" s="2484"/>
      <c r="E133" s="2226"/>
      <c r="F133" s="2405"/>
      <c r="G133" s="2449"/>
      <c r="H133" s="1503"/>
      <c r="I133" s="654" t="s">
        <v>1206</v>
      </c>
      <c r="J133" s="574"/>
      <c r="K133" s="1503"/>
      <c r="L133" s="217"/>
      <c r="M133" s="344"/>
      <c r="N133" s="337"/>
      <c r="O133" s="1627"/>
      <c r="P133" s="1627"/>
      <c r="AH133" s="1634">
        <v>0</v>
      </c>
    </row>
    <row s="1638" customFormat="1" customHeight="1" ht="0.75" hidden="1">
      <c r="A134" s="1782"/>
      <c r="B134" s="1782"/>
      <c r="C134" s="372" t="s">
        <v>1214</v>
      </c>
      <c r="D134" s="2484"/>
      <c r="E134" s="2226"/>
      <c r="F134" s="2405"/>
      <c r="G134" s="403"/>
      <c r="H134" s="1503"/>
      <c r="I134" s="654"/>
      <c r="J134" s="574"/>
      <c r="K134" s="1503"/>
      <c r="L134" s="217"/>
      <c r="M134" s="344"/>
      <c r="N134" s="337"/>
      <c r="O134" s="1627"/>
      <c r="P134" s="1627"/>
      <c r="AH134" s="1634">
        <v>0</v>
      </c>
    </row>
    <row s="1638" customFormat="1" customHeight="1" ht="18.75" hidden="1">
      <c r="A135" s="1782" t="s">
        <v>261</v>
      </c>
      <c r="B135" s="1782" t="s">
        <v>262</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307</v>
      </c>
      <c r="M135" s="344"/>
      <c r="N135" s="337"/>
      <c r="O135" s="1627"/>
      <c r="P135" s="1627"/>
      <c r="AH135" s="1634">
        <v>0</v>
      </c>
    </row>
    <row s="1638" customFormat="1" customHeight="1" ht="18.75" hidden="1">
      <c r="A136" s="1782"/>
      <c r="B136" s="1782"/>
      <c r="C136" s="372" t="s">
        <v>1207</v>
      </c>
      <c r="D136" s="2484"/>
      <c r="E136" s="2226"/>
      <c r="F136" s="2405"/>
      <c r="G136" s="2449"/>
      <c r="H136" s="1503"/>
      <c r="I136" s="654" t="s">
        <v>1206</v>
      </c>
      <c r="J136" s="574"/>
      <c r="K136" s="1503"/>
      <c r="L136" s="217"/>
      <c r="M136" s="344"/>
      <c r="N136" s="337"/>
      <c r="O136" s="1627"/>
      <c r="P136" s="1627"/>
      <c r="AH136" s="1634">
        <v>0</v>
      </c>
    </row>
    <row s="1638" customFormat="1" customHeight="1" ht="0.75" hidden="1">
      <c r="A137" s="1782"/>
      <c r="B137" s="1782"/>
      <c r="C137" s="372" t="s">
        <v>1214</v>
      </c>
      <c r="D137" s="2484"/>
      <c r="E137" s="2226"/>
      <c r="F137" s="2405"/>
      <c r="G137" s="403"/>
      <c r="H137" s="1503"/>
      <c r="I137" s="654"/>
      <c r="J137" s="574"/>
      <c r="K137" s="1503"/>
      <c r="L137" s="217"/>
      <c r="M137" s="344"/>
      <c r="N137" s="337"/>
      <c r="O137" s="1627"/>
      <c r="P137" s="1627"/>
      <c r="AH137" s="1634">
        <v>0</v>
      </c>
    </row>
    <row s="1638" customFormat="1" customHeight="1" ht="18.75" hidden="1">
      <c r="A138" s="1782" t="s">
        <v>266</v>
      </c>
      <c r="B138" s="1782" t="s">
        <v>267</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307</v>
      </c>
      <c r="M138" s="344"/>
      <c r="N138" s="337"/>
      <c r="O138" s="1627"/>
      <c r="P138" s="1627"/>
      <c r="AH138" s="1634">
        <v>0</v>
      </c>
    </row>
    <row s="1638" customFormat="1" customHeight="1" ht="18.75" hidden="1">
      <c r="A139" s="1782"/>
      <c r="B139" s="1782"/>
      <c r="C139" s="372" t="s">
        <v>1207</v>
      </c>
      <c r="D139" s="2484"/>
      <c r="E139" s="2226"/>
      <c r="F139" s="2405"/>
      <c r="G139" s="2449"/>
      <c r="H139" s="1503"/>
      <c r="I139" s="654" t="s">
        <v>1206</v>
      </c>
      <c r="J139" s="574"/>
      <c r="K139" s="1503"/>
      <c r="L139" s="217"/>
      <c r="M139" s="344"/>
      <c r="N139" s="337"/>
      <c r="O139" s="1627"/>
      <c r="P139" s="1627"/>
      <c r="AH139" s="1634">
        <v>0</v>
      </c>
    </row>
    <row s="1638" customFormat="1" customHeight="1" ht="0.75" hidden="1">
      <c r="A140" s="1782"/>
      <c r="B140" s="1782"/>
      <c r="C140" s="372" t="s">
        <v>1214</v>
      </c>
      <c r="D140" s="2484"/>
      <c r="E140" s="2226"/>
      <c r="F140" s="2405"/>
      <c r="G140" s="403"/>
      <c r="H140" s="1503"/>
      <c r="I140" s="654"/>
      <c r="J140" s="574"/>
      <c r="K140" s="1503"/>
      <c r="L140" s="217"/>
      <c r="M140" s="344"/>
      <c r="N140" s="337"/>
      <c r="O140" s="1627"/>
      <c r="P140" s="1627"/>
      <c r="AH140" s="1634">
        <v>0</v>
      </c>
    </row>
    <row s="1638" customFormat="1" customHeight="1" ht="18.75" hidden="1">
      <c r="A141" s="1782" t="s">
        <v>271</v>
      </c>
      <c r="B141" s="1782" t="s">
        <v>272</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307</v>
      </c>
      <c r="M141" s="344"/>
      <c r="N141" s="337"/>
      <c r="O141" s="1627"/>
      <c r="P141" s="1627"/>
      <c r="AH141" s="1634">
        <v>0</v>
      </c>
    </row>
    <row s="1638" customFormat="1" customHeight="1" ht="18.75" hidden="1">
      <c r="A142" s="1782"/>
      <c r="B142" s="1782"/>
      <c r="C142" s="372" t="s">
        <v>1207</v>
      </c>
      <c r="D142" s="2484"/>
      <c r="E142" s="2226"/>
      <c r="F142" s="2405"/>
      <c r="G142" s="2449"/>
      <c r="H142" s="1503"/>
      <c r="I142" s="654" t="s">
        <v>1206</v>
      </c>
      <c r="J142" s="574"/>
      <c r="K142" s="1503"/>
      <c r="L142" s="217"/>
      <c r="M142" s="344"/>
      <c r="N142" s="337"/>
      <c r="O142" s="1627"/>
      <c r="P142" s="1627"/>
      <c r="AH142" s="1634">
        <v>0</v>
      </c>
    </row>
    <row s="1638" customFormat="1" customHeight="1" ht="0.75" hidden="1">
      <c r="A143" s="1782"/>
      <c r="B143" s="1782"/>
      <c r="C143" s="372" t="s">
        <v>1214</v>
      </c>
      <c r="D143" s="2484"/>
      <c r="E143" s="2226"/>
      <c r="F143" s="2405"/>
      <c r="G143" s="403"/>
      <c r="H143" s="1503"/>
      <c r="I143" s="654"/>
      <c r="J143" s="574"/>
      <c r="K143" s="1503"/>
      <c r="L143" s="217"/>
      <c r="M143" s="344"/>
      <c r="N143" s="337"/>
      <c r="O143" s="1627"/>
      <c r="P143" s="1627"/>
      <c r="AH143" s="1634">
        <v>0</v>
      </c>
    </row>
    <row s="1638" customFormat="1" customHeight="1" ht="18.75" hidden="1">
      <c r="A144" s="1782" t="s">
        <v>276</v>
      </c>
      <c r="B144" s="1782" t="s">
        <v>277</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307</v>
      </c>
      <c r="M144" s="344"/>
      <c r="N144" s="337"/>
      <c r="O144" s="1627"/>
      <c r="P144" s="1627"/>
      <c r="AH144" s="1634">
        <v>0</v>
      </c>
    </row>
    <row s="1638" customFormat="1" customHeight="1" ht="18.75" hidden="1">
      <c r="A145" s="1782"/>
      <c r="B145" s="1782"/>
      <c r="C145" s="372" t="s">
        <v>1207</v>
      </c>
      <c r="D145" s="2484"/>
      <c r="E145" s="2226"/>
      <c r="F145" s="2405"/>
      <c r="G145" s="2449"/>
      <c r="H145" s="1503"/>
      <c r="I145" s="654" t="s">
        <v>1206</v>
      </c>
      <c r="J145" s="574"/>
      <c r="K145" s="1503"/>
      <c r="L145" s="217"/>
      <c r="M145" s="344"/>
      <c r="N145" s="337"/>
      <c r="O145" s="1627"/>
      <c r="P145" s="1627"/>
      <c r="AH145" s="1634">
        <v>0</v>
      </c>
    </row>
    <row s="1638" customFormat="1" customHeight="1" ht="1.05">
      <c r="A146" s="1782"/>
      <c r="B146" s="1782"/>
      <c r="C146" s="372" t="s">
        <v>1214</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91</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2"/>
      <c r="H147" s="2482"/>
      <c r="I147" s="2482"/>
      <c r="J147" s="2482"/>
      <c r="K147" s="2482"/>
      <c r="L147" s="2482"/>
      <c r="M147" s="300"/>
      <c r="N147" s="337"/>
      <c r="AH147" s="377">
        <v>19</v>
      </c>
    </row>
    <row s="1638" customFormat="1" customHeight="1" ht="60.75" hidden="1">
      <c r="A148" s="1782" t="s">
        <v>158</v>
      </c>
      <c r="B148" s="1782" t="s">
        <v>159</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307</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1207</v>
      </c>
      <c r="D149" s="2484"/>
      <c r="E149" s="2226"/>
      <c r="F149" s="2405"/>
      <c r="G149" s="2449"/>
      <c r="H149" s="1503"/>
      <c r="I149" s="654" t="s">
        <v>1206</v>
      </c>
      <c r="J149" s="574"/>
      <c r="K149" s="1503"/>
      <c r="L149" s="217"/>
      <c r="M149" s="2192"/>
      <c r="N149" s="337"/>
      <c r="O149" s="1627"/>
      <c r="P149" s="1627"/>
      <c r="AH149" s="1634">
        <v>0</v>
      </c>
    </row>
    <row s="1638" customFormat="1" customHeight="1" ht="0.75" hidden="1">
      <c r="A150" s="1782"/>
      <c r="B150" s="1782"/>
      <c r="C150" s="372" t="s">
        <v>1214</v>
      </c>
      <c r="D150" s="2484"/>
      <c r="E150" s="2226"/>
      <c r="F150" s="2405"/>
      <c r="G150" s="403"/>
      <c r="H150" s="1503"/>
      <c r="I150" s="654"/>
      <c r="J150" s="574"/>
      <c r="K150" s="1503"/>
      <c r="L150" s="217"/>
      <c r="M150" s="2192"/>
      <c r="N150" s="337"/>
      <c r="O150" s="1627"/>
      <c r="P150" s="1627"/>
      <c r="AH150" s="1634">
        <v>0</v>
      </c>
    </row>
    <row s="1638" customFormat="1" customHeight="1" ht="45" hidden="1">
      <c r="A151" s="1782" t="s">
        <v>163</v>
      </c>
      <c r="B151" s="1782" t="s">
        <v>164</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307</v>
      </c>
      <c r="M151" s="2193"/>
      <c r="N151" s="337"/>
      <c r="O151" s="1627"/>
      <c r="P151" s="1627"/>
      <c r="AH151" s="1634">
        <v>0</v>
      </c>
    </row>
    <row s="1638" customFormat="1" customHeight="1" ht="18.75" hidden="1">
      <c r="A152" s="1782"/>
      <c r="B152" s="1782"/>
      <c r="C152" s="372" t="s">
        <v>1207</v>
      </c>
      <c r="D152" s="2484"/>
      <c r="E152" s="2226"/>
      <c r="F152" s="2405"/>
      <c r="G152" s="2449"/>
      <c r="H152" s="1503"/>
      <c r="I152" s="654" t="s">
        <v>1206</v>
      </c>
      <c r="J152" s="574"/>
      <c r="K152" s="1503"/>
      <c r="L152" s="217"/>
      <c r="M152" s="1861"/>
      <c r="N152" s="337"/>
      <c r="O152" s="1627"/>
      <c r="P152" s="1627"/>
      <c r="AH152" s="1634">
        <v>0</v>
      </c>
    </row>
    <row s="1638" customFormat="1" customHeight="1" ht="0.75" hidden="1">
      <c r="A153" s="1782"/>
      <c r="B153" s="1782"/>
      <c r="C153" s="372" t="s">
        <v>1214</v>
      </c>
      <c r="D153" s="2484"/>
      <c r="E153" s="2226"/>
      <c r="F153" s="2405"/>
      <c r="G153" s="403"/>
      <c r="H153" s="1503"/>
      <c r="I153" s="654"/>
      <c r="J153" s="574"/>
      <c r="K153" s="1503"/>
      <c r="L153" s="217"/>
      <c r="M153" s="344"/>
      <c r="N153" s="337"/>
      <c r="O153" s="1627"/>
      <c r="P153" s="1627"/>
      <c r="AH153" s="1634">
        <v>0</v>
      </c>
    </row>
    <row s="1638" customFormat="1" customHeight="1" ht="45" hidden="1">
      <c r="A154" s="1782" t="s">
        <v>170</v>
      </c>
      <c r="B154" s="1782" t="s">
        <v>171</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307</v>
      </c>
      <c r="M154" s="344"/>
      <c r="N154" s="337"/>
      <c r="O154" s="1627"/>
      <c r="P154" s="1627"/>
      <c r="AH154" s="1634">
        <v>0</v>
      </c>
    </row>
    <row s="1638" customFormat="1" customHeight="1" ht="18.75" hidden="1">
      <c r="A155" s="1782"/>
      <c r="B155" s="1782"/>
      <c r="C155" s="372" t="s">
        <v>1207</v>
      </c>
      <c r="D155" s="2484"/>
      <c r="E155" s="2226"/>
      <c r="F155" s="2405"/>
      <c r="G155" s="2449"/>
      <c r="H155" s="1503"/>
      <c r="I155" s="654" t="s">
        <v>1206</v>
      </c>
      <c r="J155" s="574"/>
      <c r="K155" s="1503"/>
      <c r="L155" s="217"/>
      <c r="M155" s="344"/>
      <c r="N155" s="337"/>
      <c r="O155" s="1627"/>
      <c r="P155" s="1627"/>
      <c r="AH155" s="1634">
        <v>0</v>
      </c>
    </row>
    <row s="1638" customFormat="1" customHeight="1" ht="0.75" hidden="1">
      <c r="A156" s="1782"/>
      <c r="B156" s="1782"/>
      <c r="C156" s="372" t="s">
        <v>1214</v>
      </c>
      <c r="D156" s="2484"/>
      <c r="E156" s="2226"/>
      <c r="F156" s="2405"/>
      <c r="G156" s="403"/>
      <c r="H156" s="1503"/>
      <c r="I156" s="654"/>
      <c r="J156" s="574"/>
      <c r="K156" s="1503"/>
      <c r="L156" s="217"/>
      <c r="M156" s="344"/>
      <c r="N156" s="337"/>
      <c r="O156" s="1627"/>
      <c r="P156" s="1627"/>
      <c r="AH156" s="1634">
        <v>0</v>
      </c>
    </row>
    <row s="1638" customFormat="1" customHeight="1" ht="45" hidden="1">
      <c r="A157" s="1782" t="s">
        <v>176</v>
      </c>
      <c r="B157" s="1782" t="s">
        <v>177</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307</v>
      </c>
      <c r="M157" s="344"/>
      <c r="N157" s="337"/>
      <c r="O157" s="1627"/>
      <c r="P157" s="1627"/>
      <c r="AH157" s="1634">
        <v>0</v>
      </c>
    </row>
    <row s="1638" customFormat="1" customHeight="1" ht="18.75" hidden="1">
      <c r="A158" s="1782"/>
      <c r="B158" s="1782"/>
      <c r="C158" s="372" t="s">
        <v>1207</v>
      </c>
      <c r="D158" s="2484"/>
      <c r="E158" s="2226"/>
      <c r="F158" s="2405"/>
      <c r="G158" s="2449"/>
      <c r="H158" s="1503"/>
      <c r="I158" s="654" t="s">
        <v>1206</v>
      </c>
      <c r="J158" s="574"/>
      <c r="K158" s="1503"/>
      <c r="L158" s="217"/>
      <c r="M158" s="344"/>
      <c r="N158" s="337"/>
      <c r="O158" s="1627"/>
      <c r="P158" s="1627"/>
      <c r="AH158" s="1634">
        <v>0</v>
      </c>
    </row>
    <row s="1638" customFormat="1" customHeight="1" ht="0.75" hidden="1">
      <c r="A159" s="1782"/>
      <c r="B159" s="1782"/>
      <c r="C159" s="372" t="s">
        <v>1214</v>
      </c>
      <c r="D159" s="2484"/>
      <c r="E159" s="2226"/>
      <c r="F159" s="2405"/>
      <c r="G159" s="403"/>
      <c r="H159" s="1503"/>
      <c r="I159" s="654"/>
      <c r="J159" s="574"/>
      <c r="K159" s="1503"/>
      <c r="L159" s="217"/>
      <c r="M159" s="344"/>
      <c r="N159" s="337"/>
      <c r="O159" s="1627"/>
      <c r="P159" s="1627"/>
      <c r="AH159" s="1634">
        <v>0</v>
      </c>
    </row>
    <row s="1638" customFormat="1" customHeight="1" ht="18.75" hidden="1">
      <c r="A160" s="1782" t="s">
        <v>182</v>
      </c>
      <c r="B160" s="1782" t="s">
        <v>183</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307</v>
      </c>
      <c r="M160" s="344"/>
      <c r="N160" s="337"/>
      <c r="O160" s="1627"/>
      <c r="P160" s="1627"/>
      <c r="AH160" s="1634">
        <v>0</v>
      </c>
    </row>
    <row s="1638" customFormat="1" customHeight="1" ht="18.75" hidden="1">
      <c r="A161" s="1782"/>
      <c r="B161" s="1782"/>
      <c r="C161" s="372" t="s">
        <v>1207</v>
      </c>
      <c r="D161" s="2484"/>
      <c r="E161" s="2226"/>
      <c r="F161" s="2405"/>
      <c r="G161" s="2449"/>
      <c r="H161" s="1503"/>
      <c r="I161" s="654" t="s">
        <v>1206</v>
      </c>
      <c r="J161" s="574"/>
      <c r="K161" s="1503"/>
      <c r="L161" s="217"/>
      <c r="M161" s="344"/>
      <c r="N161" s="337"/>
      <c r="O161" s="1627"/>
      <c r="P161" s="1627"/>
      <c r="AH161" s="1634">
        <v>0</v>
      </c>
    </row>
    <row s="1638" customFormat="1" customHeight="1" ht="0.75" hidden="1">
      <c r="A162" s="1782"/>
      <c r="B162" s="1782"/>
      <c r="C162" s="372" t="s">
        <v>1214</v>
      </c>
      <c r="D162" s="2484"/>
      <c r="E162" s="2226"/>
      <c r="F162" s="2405"/>
      <c r="G162" s="403"/>
      <c r="H162" s="1503"/>
      <c r="I162" s="654"/>
      <c r="J162" s="574"/>
      <c r="K162" s="1503"/>
      <c r="L162" s="217"/>
      <c r="M162" s="344"/>
      <c r="N162" s="337"/>
      <c r="O162" s="1627"/>
      <c r="P162" s="1627"/>
      <c r="AH162" s="1634">
        <v>0</v>
      </c>
    </row>
    <row s="1638" customFormat="1" customHeight="1" ht="18.75" hidden="1">
      <c r="A163" s="1782" t="s">
        <v>188</v>
      </c>
      <c r="B163" s="1782" t="s">
        <v>189</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307</v>
      </c>
      <c r="M163" s="344"/>
      <c r="N163" s="337"/>
      <c r="O163" s="1627"/>
      <c r="P163" s="1627"/>
      <c r="AH163" s="1634">
        <v>0</v>
      </c>
    </row>
    <row s="1638" customFormat="1" customHeight="1" ht="18.75" hidden="1">
      <c r="A164" s="1782"/>
      <c r="B164" s="1782"/>
      <c r="C164" s="372" t="s">
        <v>1207</v>
      </c>
      <c r="D164" s="2484"/>
      <c r="E164" s="2226"/>
      <c r="F164" s="2405"/>
      <c r="G164" s="2449"/>
      <c r="H164" s="1503"/>
      <c r="I164" s="654" t="s">
        <v>1206</v>
      </c>
      <c r="J164" s="574"/>
      <c r="K164" s="1503"/>
      <c r="L164" s="217"/>
      <c r="M164" s="344"/>
      <c r="N164" s="337"/>
      <c r="O164" s="1627"/>
      <c r="P164" s="1627"/>
      <c r="AH164" s="1634">
        <v>0</v>
      </c>
    </row>
    <row s="1638" customFormat="1" customHeight="1" ht="0.75" hidden="1">
      <c r="A165" s="1782"/>
      <c r="B165" s="1782"/>
      <c r="C165" s="372" t="s">
        <v>1214</v>
      </c>
      <c r="D165" s="2484"/>
      <c r="E165" s="2226"/>
      <c r="F165" s="2405"/>
      <c r="G165" s="403"/>
      <c r="H165" s="1503"/>
      <c r="I165" s="654"/>
      <c r="J165" s="574"/>
      <c r="K165" s="1503"/>
      <c r="L165" s="217"/>
      <c r="M165" s="344"/>
      <c r="N165" s="337"/>
      <c r="O165" s="1627"/>
      <c r="P165" s="1627"/>
      <c r="AH165" s="1634">
        <v>0</v>
      </c>
    </row>
    <row s="1638" customFormat="1" customHeight="1" ht="18.75" hidden="1">
      <c r="A166" s="1782" t="s">
        <v>194</v>
      </c>
      <c r="B166" s="1782" t="s">
        <v>195</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307</v>
      </c>
      <c r="M166" s="344"/>
      <c r="N166" s="337"/>
      <c r="O166" s="1627"/>
      <c r="P166" s="1627"/>
      <c r="AH166" s="1634">
        <v>0</v>
      </c>
    </row>
    <row s="1638" customFormat="1" customHeight="1" ht="18.75" hidden="1">
      <c r="A167" s="1782"/>
      <c r="B167" s="1782"/>
      <c r="C167" s="372" t="s">
        <v>1207</v>
      </c>
      <c r="D167" s="2484"/>
      <c r="E167" s="2226"/>
      <c r="F167" s="2405"/>
      <c r="G167" s="2449"/>
      <c r="H167" s="1503"/>
      <c r="I167" s="654" t="s">
        <v>1206</v>
      </c>
      <c r="J167" s="574"/>
      <c r="K167" s="1503"/>
      <c r="L167" s="217"/>
      <c r="M167" s="344"/>
      <c r="N167" s="337"/>
      <c r="O167" s="1627"/>
      <c r="P167" s="1627"/>
      <c r="AH167" s="1634">
        <v>0</v>
      </c>
    </row>
    <row s="1638" customFormat="1" customHeight="1" ht="0.75" hidden="1">
      <c r="A168" s="1782"/>
      <c r="B168" s="1782"/>
      <c r="C168" s="372" t="s">
        <v>1214</v>
      </c>
      <c r="D168" s="2484"/>
      <c r="E168" s="2226"/>
      <c r="F168" s="2405"/>
      <c r="G168" s="403"/>
      <c r="H168" s="1503"/>
      <c r="I168" s="654"/>
      <c r="J168" s="574"/>
      <c r="K168" s="1503"/>
      <c r="L168" s="217"/>
      <c r="M168" s="344"/>
      <c r="N168" s="337"/>
      <c r="O168" s="1627"/>
      <c r="P168" s="1627"/>
      <c r="AH168" s="1634">
        <v>0</v>
      </c>
    </row>
    <row s="1638" customFormat="1" customHeight="1" ht="18.75" hidden="1">
      <c r="A169" s="1782" t="s">
        <v>200</v>
      </c>
      <c r="B169" s="1782" t="s">
        <v>201</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307</v>
      </c>
      <c r="M169" s="344"/>
      <c r="N169" s="337"/>
      <c r="O169" s="1627"/>
      <c r="P169" s="1627"/>
      <c r="AH169" s="1634">
        <v>0</v>
      </c>
    </row>
    <row s="1638" customFormat="1" customHeight="1" ht="18.75" hidden="1">
      <c r="A170" s="1782"/>
      <c r="B170" s="1782"/>
      <c r="C170" s="372" t="s">
        <v>1207</v>
      </c>
      <c r="D170" s="2484"/>
      <c r="E170" s="2226"/>
      <c r="F170" s="2405"/>
      <c r="G170" s="2449"/>
      <c r="H170" s="1503"/>
      <c r="I170" s="654" t="s">
        <v>1206</v>
      </c>
      <c r="J170" s="574"/>
      <c r="K170" s="1503"/>
      <c r="L170" s="217"/>
      <c r="M170" s="344"/>
      <c r="N170" s="337"/>
      <c r="O170" s="1627"/>
      <c r="P170" s="1627"/>
      <c r="AH170" s="1634">
        <v>0</v>
      </c>
    </row>
    <row s="1638" customFormat="1" customHeight="1" ht="0.75" hidden="1">
      <c r="A171" s="1782"/>
      <c r="B171" s="1782"/>
      <c r="C171" s="372" t="s">
        <v>1214</v>
      </c>
      <c r="D171" s="2484"/>
      <c r="E171" s="2226"/>
      <c r="F171" s="2405"/>
      <c r="G171" s="403"/>
      <c r="H171" s="1503"/>
      <c r="I171" s="654"/>
      <c r="J171" s="574"/>
      <c r="K171" s="1503"/>
      <c r="L171" s="217"/>
      <c r="M171" s="344"/>
      <c r="N171" s="337"/>
      <c r="O171" s="1627"/>
      <c r="P171" s="1627"/>
      <c r="AH171" s="1634">
        <v>0</v>
      </c>
    </row>
    <row s="1638" customFormat="1" customHeight="1" ht="18.75" hidden="1">
      <c r="A172" s="1782" t="s">
        <v>206</v>
      </c>
      <c r="B172" s="1782" t="s">
        <v>207</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307</v>
      </c>
      <c r="M172" s="344"/>
      <c r="N172" s="337"/>
      <c r="O172" s="1627"/>
      <c r="P172" s="1627"/>
      <c r="AH172" s="1634">
        <v>0</v>
      </c>
    </row>
    <row s="1638" customFormat="1" customHeight="1" ht="18.75" hidden="1">
      <c r="A173" s="1782"/>
      <c r="B173" s="1782"/>
      <c r="C173" s="372" t="s">
        <v>1207</v>
      </c>
      <c r="D173" s="2484"/>
      <c r="E173" s="2226"/>
      <c r="F173" s="2405"/>
      <c r="G173" s="2449"/>
      <c r="H173" s="1503"/>
      <c r="I173" s="654" t="s">
        <v>1206</v>
      </c>
      <c r="J173" s="574"/>
      <c r="K173" s="1503"/>
      <c r="L173" s="217"/>
      <c r="M173" s="344"/>
      <c r="N173" s="337"/>
      <c r="O173" s="1627"/>
      <c r="P173" s="1627"/>
      <c r="AH173" s="1634">
        <v>0</v>
      </c>
    </row>
    <row s="1638" customFormat="1" customHeight="1" ht="0.75" hidden="1">
      <c r="A174" s="1782"/>
      <c r="B174" s="1782"/>
      <c r="C174" s="372" t="s">
        <v>1214</v>
      </c>
      <c r="D174" s="2484"/>
      <c r="E174" s="2226"/>
      <c r="F174" s="2405"/>
      <c r="G174" s="403"/>
      <c r="H174" s="1503"/>
      <c r="I174" s="654"/>
      <c r="J174" s="574"/>
      <c r="K174" s="1503"/>
      <c r="L174" s="217"/>
      <c r="M174" s="344"/>
      <c r="N174" s="337"/>
      <c r="O174" s="1627"/>
      <c r="P174" s="1627"/>
      <c r="AH174" s="1634">
        <v>0</v>
      </c>
    </row>
    <row s="1638" customFormat="1" customHeight="1" ht="18.75" hidden="1">
      <c r="A175" s="1782" t="s">
        <v>226</v>
      </c>
      <c r="B175" s="1782" t="s">
        <v>227</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307</v>
      </c>
      <c r="M175" s="344"/>
      <c r="N175" s="337"/>
      <c r="O175" s="1627"/>
      <c r="P175" s="1627"/>
      <c r="AH175" s="1634">
        <v>0</v>
      </c>
    </row>
    <row s="1638" customFormat="1" customHeight="1" ht="18.75" hidden="1">
      <c r="A176" s="1782"/>
      <c r="B176" s="1782"/>
      <c r="C176" s="372" t="s">
        <v>1207</v>
      </c>
      <c r="D176" s="2484"/>
      <c r="E176" s="2226"/>
      <c r="F176" s="2405"/>
      <c r="G176" s="2449"/>
      <c r="H176" s="1503"/>
      <c r="I176" s="654" t="s">
        <v>1206</v>
      </c>
      <c r="J176" s="574"/>
      <c r="K176" s="1503"/>
      <c r="L176" s="217"/>
      <c r="M176" s="344"/>
      <c r="N176" s="337"/>
      <c r="O176" s="1627"/>
      <c r="P176" s="1627"/>
      <c r="AH176" s="1634">
        <v>0</v>
      </c>
    </row>
    <row s="1638" customFormat="1" customHeight="1" ht="0.75" hidden="1">
      <c r="A177" s="1782"/>
      <c r="B177" s="1782"/>
      <c r="C177" s="372" t="s">
        <v>1214</v>
      </c>
      <c r="D177" s="2484"/>
      <c r="E177" s="2226"/>
      <c r="F177" s="2405"/>
      <c r="G177" s="403"/>
      <c r="H177" s="1503"/>
      <c r="I177" s="654"/>
      <c r="J177" s="574"/>
      <c r="K177" s="1503"/>
      <c r="L177" s="217"/>
      <c r="M177" s="344"/>
      <c r="N177" s="337"/>
      <c r="O177" s="1627"/>
      <c r="P177" s="1627"/>
      <c r="AH177" s="1634">
        <v>0</v>
      </c>
    </row>
    <row s="1638" customFormat="1" customHeight="1" ht="18.75" hidden="1">
      <c r="A178" s="1782" t="s">
        <v>231</v>
      </c>
      <c r="B178" s="1782" t="s">
        <v>232</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307</v>
      </c>
      <c r="M178" s="344"/>
      <c r="N178" s="337"/>
      <c r="O178" s="1627"/>
      <c r="P178" s="1627"/>
      <c r="AH178" s="1634">
        <v>0</v>
      </c>
    </row>
    <row s="1638" customFormat="1" customHeight="1" ht="18.75" hidden="1">
      <c r="A179" s="1782"/>
      <c r="B179" s="1782"/>
      <c r="C179" s="372" t="s">
        <v>1207</v>
      </c>
      <c r="D179" s="2484"/>
      <c r="E179" s="2226"/>
      <c r="F179" s="2405"/>
      <c r="G179" s="2449"/>
      <c r="H179" s="1503"/>
      <c r="I179" s="654" t="s">
        <v>1206</v>
      </c>
      <c r="J179" s="574"/>
      <c r="K179" s="1503"/>
      <c r="L179" s="217"/>
      <c r="M179" s="344"/>
      <c r="N179" s="337"/>
      <c r="O179" s="1627"/>
      <c r="P179" s="1627"/>
      <c r="AH179" s="1634">
        <v>0</v>
      </c>
    </row>
    <row s="1638" customFormat="1" customHeight="1" ht="0.75" hidden="1">
      <c r="A180" s="1782"/>
      <c r="B180" s="1782"/>
      <c r="C180" s="372" t="s">
        <v>1214</v>
      </c>
      <c r="D180" s="2484"/>
      <c r="E180" s="2226"/>
      <c r="F180" s="2405"/>
      <c r="G180" s="403"/>
      <c r="H180" s="1503"/>
      <c r="I180" s="654"/>
      <c r="J180" s="574"/>
      <c r="K180" s="1503"/>
      <c r="L180" s="217"/>
      <c r="M180" s="344"/>
      <c r="N180" s="337"/>
      <c r="O180" s="1627"/>
      <c r="P180" s="1627"/>
      <c r="AH180" s="1634">
        <v>0</v>
      </c>
    </row>
    <row s="1638" customFormat="1" customHeight="1" ht="18.75" hidden="1">
      <c r="A181" s="1782" t="s">
        <v>236</v>
      </c>
      <c r="B181" s="1782" t="s">
        <v>237</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307</v>
      </c>
      <c r="M181" s="344"/>
      <c r="N181" s="337"/>
      <c r="O181" s="1627"/>
      <c r="P181" s="1627"/>
      <c r="AH181" s="1634">
        <v>0</v>
      </c>
    </row>
    <row s="1638" customFormat="1" customHeight="1" ht="18.75" hidden="1">
      <c r="A182" s="1782"/>
      <c r="B182" s="1782"/>
      <c r="C182" s="372" t="s">
        <v>1207</v>
      </c>
      <c r="D182" s="2484"/>
      <c r="E182" s="2226"/>
      <c r="F182" s="2405"/>
      <c r="G182" s="2449"/>
      <c r="H182" s="1503"/>
      <c r="I182" s="654" t="s">
        <v>1206</v>
      </c>
      <c r="J182" s="574"/>
      <c r="K182" s="1503"/>
      <c r="L182" s="217"/>
      <c r="M182" s="344"/>
      <c r="N182" s="337"/>
      <c r="O182" s="1627"/>
      <c r="P182" s="1627"/>
      <c r="AH182" s="1634">
        <v>0</v>
      </c>
    </row>
    <row s="1638" customFormat="1" customHeight="1" ht="0.75" hidden="1">
      <c r="A183" s="1782"/>
      <c r="B183" s="1782"/>
      <c r="C183" s="372" t="s">
        <v>1214</v>
      </c>
      <c r="D183" s="2484"/>
      <c r="E183" s="2226"/>
      <c r="F183" s="2405"/>
      <c r="G183" s="403"/>
      <c r="H183" s="1503"/>
      <c r="I183" s="654"/>
      <c r="J183" s="574"/>
      <c r="K183" s="1503"/>
      <c r="L183" s="217"/>
      <c r="M183" s="344"/>
      <c r="N183" s="337"/>
      <c r="O183" s="1627"/>
      <c r="P183" s="1627"/>
      <c r="AH183" s="1634">
        <v>0</v>
      </c>
    </row>
    <row s="1638" customFormat="1" customHeight="1" ht="18.75" hidden="1">
      <c r="A184" s="1782" t="s">
        <v>241</v>
      </c>
      <c r="B184" s="1782" t="s">
        <v>242</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307</v>
      </c>
      <c r="M184" s="344"/>
      <c r="N184" s="337"/>
      <c r="O184" s="1627"/>
      <c r="P184" s="1627"/>
      <c r="AH184" s="1634">
        <v>0</v>
      </c>
    </row>
    <row s="1638" customFormat="1" customHeight="1" ht="18.75" hidden="1">
      <c r="A185" s="1782"/>
      <c r="B185" s="1782"/>
      <c r="C185" s="372" t="s">
        <v>1207</v>
      </c>
      <c r="D185" s="2484"/>
      <c r="E185" s="2226"/>
      <c r="F185" s="2405"/>
      <c r="G185" s="2449"/>
      <c r="H185" s="1503"/>
      <c r="I185" s="654" t="s">
        <v>1206</v>
      </c>
      <c r="J185" s="574"/>
      <c r="K185" s="1503"/>
      <c r="L185" s="217"/>
      <c r="M185" s="344"/>
      <c r="N185" s="337"/>
      <c r="O185" s="1627"/>
      <c r="P185" s="1627"/>
      <c r="AH185" s="1634">
        <v>0</v>
      </c>
    </row>
    <row s="1638" customFormat="1" customHeight="1" ht="0.75" hidden="1">
      <c r="A186" s="1782"/>
      <c r="B186" s="1782"/>
      <c r="C186" s="372" t="s">
        <v>1214</v>
      </c>
      <c r="D186" s="2484"/>
      <c r="E186" s="2226"/>
      <c r="F186" s="2405"/>
      <c r="G186" s="403"/>
      <c r="H186" s="1503"/>
      <c r="I186" s="654"/>
      <c r="J186" s="574"/>
      <c r="K186" s="1503"/>
      <c r="L186" s="217"/>
      <c r="M186" s="344"/>
      <c r="N186" s="337"/>
      <c r="O186" s="1627"/>
      <c r="P186" s="1627"/>
      <c r="AH186" s="1634">
        <v>0</v>
      </c>
    </row>
    <row s="1638" customFormat="1" customHeight="1" ht="18.75" hidden="1">
      <c r="A187" s="1782" t="s">
        <v>246</v>
      </c>
      <c r="B187" s="1782" t="s">
        <v>247</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307</v>
      </c>
      <c r="M187" s="344"/>
      <c r="N187" s="337"/>
      <c r="O187" s="1627"/>
      <c r="P187" s="1627"/>
      <c r="AH187" s="1634">
        <v>0</v>
      </c>
    </row>
    <row s="1638" customFormat="1" customHeight="1" ht="18.75" hidden="1">
      <c r="A188" s="1782"/>
      <c r="B188" s="1782"/>
      <c r="C188" s="372" t="s">
        <v>1207</v>
      </c>
      <c r="D188" s="2484"/>
      <c r="E188" s="2226"/>
      <c r="F188" s="2405"/>
      <c r="G188" s="2449"/>
      <c r="H188" s="1503"/>
      <c r="I188" s="654" t="s">
        <v>1206</v>
      </c>
      <c r="J188" s="574"/>
      <c r="K188" s="1503"/>
      <c r="L188" s="217"/>
      <c r="M188" s="344"/>
      <c r="N188" s="337"/>
      <c r="O188" s="1627"/>
      <c r="P188" s="1627"/>
      <c r="AH188" s="1634">
        <v>0</v>
      </c>
    </row>
    <row s="1638" customFormat="1" customHeight="1" ht="0.75" hidden="1">
      <c r="A189" s="1782"/>
      <c r="B189" s="1782"/>
      <c r="C189" s="372" t="s">
        <v>1214</v>
      </c>
      <c r="D189" s="2484"/>
      <c r="E189" s="2226"/>
      <c r="F189" s="2405"/>
      <c r="G189" s="403"/>
      <c r="H189" s="1503"/>
      <c r="I189" s="654"/>
      <c r="J189" s="574"/>
      <c r="K189" s="1503"/>
      <c r="L189" s="217"/>
      <c r="M189" s="344"/>
      <c r="N189" s="337"/>
      <c r="O189" s="1627"/>
      <c r="P189" s="1627"/>
      <c r="AH189" s="1634">
        <v>0</v>
      </c>
    </row>
    <row s="1638" customFormat="1" customHeight="1" ht="18.75" hidden="1">
      <c r="A190" s="1782" t="s">
        <v>251</v>
      </c>
      <c r="B190" s="1782" t="s">
        <v>252</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307</v>
      </c>
      <c r="M190" s="344"/>
      <c r="N190" s="337"/>
      <c r="O190" s="1627"/>
      <c r="P190" s="1627"/>
      <c r="AH190" s="1634">
        <v>0</v>
      </c>
    </row>
    <row s="1638" customFormat="1" customHeight="1" ht="18.75" hidden="1">
      <c r="A191" s="1782"/>
      <c r="B191" s="1782"/>
      <c r="C191" s="372" t="s">
        <v>1207</v>
      </c>
      <c r="D191" s="2484"/>
      <c r="E191" s="2226"/>
      <c r="F191" s="2405"/>
      <c r="G191" s="2449"/>
      <c r="H191" s="1503"/>
      <c r="I191" s="654" t="s">
        <v>1206</v>
      </c>
      <c r="J191" s="574"/>
      <c r="K191" s="1503"/>
      <c r="L191" s="217"/>
      <c r="M191" s="344"/>
      <c r="N191" s="337"/>
      <c r="O191" s="1627"/>
      <c r="P191" s="1627"/>
      <c r="AH191" s="1634">
        <v>0</v>
      </c>
    </row>
    <row s="1638" customFormat="1" customHeight="1" ht="0.75" hidden="1">
      <c r="A192" s="1782"/>
      <c r="B192" s="1782"/>
      <c r="C192" s="372" t="s">
        <v>1214</v>
      </c>
      <c r="D192" s="2484"/>
      <c r="E192" s="2226"/>
      <c r="F192" s="2405"/>
      <c r="G192" s="403"/>
      <c r="H192" s="1503"/>
      <c r="I192" s="654"/>
      <c r="J192" s="574"/>
      <c r="K192" s="1503"/>
      <c r="L192" s="217"/>
      <c r="M192" s="344"/>
      <c r="N192" s="337"/>
      <c r="O192" s="1627"/>
      <c r="P192" s="1627"/>
      <c r="AH192" s="1634">
        <v>0</v>
      </c>
    </row>
    <row s="1638" customFormat="1" customHeight="1" ht="18.75" hidden="1">
      <c r="A193" s="1782" t="s">
        <v>256</v>
      </c>
      <c r="B193" s="1782" t="s">
        <v>257</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307</v>
      </c>
      <c r="M193" s="344"/>
      <c r="N193" s="337"/>
      <c r="O193" s="1627"/>
      <c r="P193" s="1627"/>
      <c r="AH193" s="1634">
        <v>0</v>
      </c>
    </row>
    <row s="1638" customFormat="1" customHeight="1" ht="18.75" hidden="1">
      <c r="A194" s="1782"/>
      <c r="B194" s="1782"/>
      <c r="C194" s="372" t="s">
        <v>1207</v>
      </c>
      <c r="D194" s="2484"/>
      <c r="E194" s="2226"/>
      <c r="F194" s="2405"/>
      <c r="G194" s="2449"/>
      <c r="H194" s="1503"/>
      <c r="I194" s="654" t="s">
        <v>1206</v>
      </c>
      <c r="J194" s="574"/>
      <c r="K194" s="1503"/>
      <c r="L194" s="217"/>
      <c r="M194" s="344"/>
      <c r="N194" s="337"/>
      <c r="O194" s="1627"/>
      <c r="P194" s="1627"/>
      <c r="AH194" s="1634">
        <v>0</v>
      </c>
    </row>
    <row s="1638" customFormat="1" customHeight="1" ht="0.75" hidden="1">
      <c r="A195" s="1782"/>
      <c r="B195" s="1782"/>
      <c r="C195" s="372" t="s">
        <v>1214</v>
      </c>
      <c r="D195" s="2484"/>
      <c r="E195" s="2226"/>
      <c r="F195" s="2405"/>
      <c r="G195" s="403"/>
      <c r="H195" s="1503"/>
      <c r="I195" s="654"/>
      <c r="J195" s="574"/>
      <c r="K195" s="1503"/>
      <c r="L195" s="217"/>
      <c r="M195" s="344"/>
      <c r="N195" s="337"/>
      <c r="O195" s="1627"/>
      <c r="P195" s="1627"/>
      <c r="AH195" s="1634">
        <v>0</v>
      </c>
    </row>
    <row s="1638" customFormat="1" customHeight="1" ht="18.75" hidden="1">
      <c r="A196" s="1782" t="s">
        <v>261</v>
      </c>
      <c r="B196" s="1782" t="s">
        <v>262</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307</v>
      </c>
      <c r="M196" s="344"/>
      <c r="N196" s="337"/>
      <c r="O196" s="1627"/>
      <c r="P196" s="1627"/>
      <c r="AH196" s="1634">
        <v>0</v>
      </c>
    </row>
    <row s="1638" customFormat="1" customHeight="1" ht="18.75" hidden="1">
      <c r="A197" s="1782"/>
      <c r="B197" s="1782"/>
      <c r="C197" s="372" t="s">
        <v>1207</v>
      </c>
      <c r="D197" s="2484"/>
      <c r="E197" s="2226"/>
      <c r="F197" s="2405"/>
      <c r="G197" s="2449"/>
      <c r="H197" s="1503"/>
      <c r="I197" s="654" t="s">
        <v>1206</v>
      </c>
      <c r="J197" s="574"/>
      <c r="K197" s="1503"/>
      <c r="L197" s="217"/>
      <c r="M197" s="344"/>
      <c r="N197" s="337"/>
      <c r="O197" s="1627"/>
      <c r="P197" s="1627"/>
      <c r="AH197" s="1634">
        <v>0</v>
      </c>
    </row>
    <row s="1638" customFormat="1" customHeight="1" ht="0.75" hidden="1">
      <c r="A198" s="1782"/>
      <c r="B198" s="1782"/>
      <c r="C198" s="372" t="s">
        <v>1214</v>
      </c>
      <c r="D198" s="2484"/>
      <c r="E198" s="2226"/>
      <c r="F198" s="2405"/>
      <c r="G198" s="403"/>
      <c r="H198" s="1503"/>
      <c r="I198" s="654"/>
      <c r="J198" s="574"/>
      <c r="K198" s="1503"/>
      <c r="L198" s="217"/>
      <c r="M198" s="344"/>
      <c r="N198" s="337"/>
      <c r="O198" s="1627"/>
      <c r="P198" s="1627"/>
      <c r="AH198" s="1634">
        <v>0</v>
      </c>
    </row>
    <row s="1638" customFormat="1" customHeight="1" ht="18.75" hidden="1">
      <c r="A199" s="1782" t="s">
        <v>266</v>
      </c>
      <c r="B199" s="1782" t="s">
        <v>267</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307</v>
      </c>
      <c r="M199" s="344"/>
      <c r="N199" s="337"/>
      <c r="O199" s="1627"/>
      <c r="P199" s="1627"/>
      <c r="AH199" s="1634">
        <v>0</v>
      </c>
    </row>
    <row s="1638" customFormat="1" customHeight="1" ht="18.75" hidden="1">
      <c r="A200" s="1782"/>
      <c r="B200" s="1782"/>
      <c r="C200" s="372" t="s">
        <v>1207</v>
      </c>
      <c r="D200" s="2484"/>
      <c r="E200" s="2226"/>
      <c r="F200" s="2405"/>
      <c r="G200" s="2449"/>
      <c r="H200" s="1503"/>
      <c r="I200" s="654" t="s">
        <v>1206</v>
      </c>
      <c r="J200" s="574"/>
      <c r="K200" s="1503"/>
      <c r="L200" s="217"/>
      <c r="M200" s="344"/>
      <c r="N200" s="337"/>
      <c r="O200" s="1627"/>
      <c r="P200" s="1627"/>
      <c r="AH200" s="1634">
        <v>0</v>
      </c>
    </row>
    <row s="1638" customFormat="1" customHeight="1" ht="0.75" hidden="1">
      <c r="A201" s="1782"/>
      <c r="B201" s="1782"/>
      <c r="C201" s="372" t="s">
        <v>1214</v>
      </c>
      <c r="D201" s="2484"/>
      <c r="E201" s="2226"/>
      <c r="F201" s="2405"/>
      <c r="G201" s="403"/>
      <c r="H201" s="1503"/>
      <c r="I201" s="654"/>
      <c r="J201" s="574"/>
      <c r="K201" s="1503"/>
      <c r="L201" s="217"/>
      <c r="M201" s="344"/>
      <c r="N201" s="337"/>
      <c r="O201" s="1627"/>
      <c r="P201" s="1627"/>
      <c r="AH201" s="1634">
        <v>0</v>
      </c>
    </row>
    <row s="1638" customFormat="1" customHeight="1" ht="18.75" hidden="1">
      <c r="A202" s="1782" t="s">
        <v>271</v>
      </c>
      <c r="B202" s="1782" t="s">
        <v>272</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307</v>
      </c>
      <c r="M202" s="344"/>
      <c r="N202" s="337"/>
      <c r="O202" s="1627"/>
      <c r="P202" s="1627"/>
      <c r="AH202" s="1634">
        <v>0</v>
      </c>
    </row>
    <row s="1638" customFormat="1" customHeight="1" ht="18.75" hidden="1">
      <c r="A203" s="1782"/>
      <c r="B203" s="1782"/>
      <c r="C203" s="372" t="s">
        <v>1207</v>
      </c>
      <c r="D203" s="2484"/>
      <c r="E203" s="2226"/>
      <c r="F203" s="2405"/>
      <c r="G203" s="2449"/>
      <c r="H203" s="1503"/>
      <c r="I203" s="654" t="s">
        <v>1206</v>
      </c>
      <c r="J203" s="574"/>
      <c r="K203" s="1503"/>
      <c r="L203" s="217"/>
      <c r="M203" s="344"/>
      <c r="N203" s="337"/>
      <c r="O203" s="1627"/>
      <c r="P203" s="1627"/>
      <c r="AH203" s="1634">
        <v>0</v>
      </c>
    </row>
    <row s="1638" customFormat="1" customHeight="1" ht="0.75" hidden="1">
      <c r="A204" s="1782"/>
      <c r="B204" s="1782"/>
      <c r="C204" s="372" t="s">
        <v>1214</v>
      </c>
      <c r="D204" s="2484"/>
      <c r="E204" s="2226"/>
      <c r="F204" s="2405"/>
      <c r="G204" s="403"/>
      <c r="H204" s="1503"/>
      <c r="I204" s="654"/>
      <c r="J204" s="574"/>
      <c r="K204" s="1503"/>
      <c r="L204" s="217"/>
      <c r="M204" s="344"/>
      <c r="N204" s="337"/>
      <c r="O204" s="1627"/>
      <c r="P204" s="1627"/>
      <c r="AH204" s="1634">
        <v>0</v>
      </c>
    </row>
    <row s="1638" customFormat="1" customHeight="1" ht="18.75" hidden="1">
      <c r="A205" s="1782" t="s">
        <v>276</v>
      </c>
      <c r="B205" s="1782" t="s">
        <v>277</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307</v>
      </c>
      <c r="M205" s="344"/>
      <c r="N205" s="337"/>
      <c r="O205" s="1627"/>
      <c r="P205" s="1627"/>
      <c r="AH205" s="1634">
        <v>0</v>
      </c>
    </row>
    <row s="1638" customFormat="1" customHeight="1" ht="18.75" hidden="1">
      <c r="A206" s="1782"/>
      <c r="B206" s="1782"/>
      <c r="C206" s="372" t="s">
        <v>1207</v>
      </c>
      <c r="D206" s="2484"/>
      <c r="E206" s="2226"/>
      <c r="F206" s="2405"/>
      <c r="G206" s="2449"/>
      <c r="H206" s="1503"/>
      <c r="I206" s="654" t="s">
        <v>1206</v>
      </c>
      <c r="J206" s="574"/>
      <c r="K206" s="1503"/>
      <c r="L206" s="217"/>
      <c r="M206" s="344"/>
      <c r="N206" s="337"/>
      <c r="O206" s="1627"/>
      <c r="P206" s="1627"/>
      <c r="AH206" s="1634">
        <v>0</v>
      </c>
    </row>
    <row s="1638" customFormat="1" customHeight="1" ht="1.05">
      <c r="A207" s="1782"/>
      <c r="B207" s="1782"/>
      <c r="C207" s="372" t="s">
        <v>1214</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110</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2"/>
      <c r="H208" s="2482"/>
      <c r="I208" s="2482"/>
      <c r="J208" s="2482"/>
      <c r="K208" s="2482"/>
      <c r="L208" s="2482"/>
      <c r="M208" s="300"/>
      <c r="N208" s="337"/>
      <c r="AH208" s="377">
        <v>26</v>
      </c>
    </row>
    <row s="1638" customFormat="1" customHeight="1" ht="60.75" hidden="1">
      <c r="A209" s="1782" t="s">
        <v>158</v>
      </c>
      <c r="B209" s="1782" t="s">
        <v>159</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307</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1207</v>
      </c>
      <c r="D210" s="2484"/>
      <c r="E210" s="2226"/>
      <c r="F210" s="2405"/>
      <c r="G210" s="2449"/>
      <c r="H210" s="1503"/>
      <c r="I210" s="654" t="s">
        <v>1206</v>
      </c>
      <c r="J210" s="574"/>
      <c r="K210" s="1503"/>
      <c r="L210" s="217"/>
      <c r="M210" s="2192"/>
      <c r="N210" s="337"/>
      <c r="O210" s="1627"/>
      <c r="P210" s="1627"/>
      <c r="AH210" s="1634">
        <v>0</v>
      </c>
    </row>
    <row s="1638" customFormat="1" customHeight="1" ht="0.75" hidden="1">
      <c r="A211" s="1782"/>
      <c r="B211" s="1782"/>
      <c r="C211" s="372" t="s">
        <v>1214</v>
      </c>
      <c r="D211" s="2484"/>
      <c r="E211" s="2226"/>
      <c r="F211" s="2405"/>
      <c r="G211" s="403"/>
      <c r="H211" s="1503"/>
      <c r="I211" s="654"/>
      <c r="J211" s="574"/>
      <c r="K211" s="1503"/>
      <c r="L211" s="217"/>
      <c r="M211" s="2192"/>
      <c r="N211" s="337"/>
      <c r="O211" s="1627"/>
      <c r="P211" s="1627"/>
      <c r="AH211" s="1634">
        <v>0</v>
      </c>
    </row>
    <row s="1638" customFormat="1" customHeight="1" ht="45" hidden="1">
      <c r="A212" s="1782" t="s">
        <v>163</v>
      </c>
      <c r="B212" s="1782" t="s">
        <v>164</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307</v>
      </c>
      <c r="M212" s="2193"/>
      <c r="N212" s="337"/>
      <c r="O212" s="1627"/>
      <c r="P212" s="1627"/>
      <c r="AH212" s="1634">
        <v>0</v>
      </c>
    </row>
    <row s="1638" customFormat="1" customHeight="1" ht="18.75" hidden="1">
      <c r="A213" s="1782"/>
      <c r="B213" s="1782"/>
      <c r="C213" s="372" t="s">
        <v>1207</v>
      </c>
      <c r="D213" s="2484"/>
      <c r="E213" s="2226"/>
      <c r="F213" s="2405"/>
      <c r="G213" s="2449"/>
      <c r="H213" s="1503"/>
      <c r="I213" s="654" t="s">
        <v>1206</v>
      </c>
      <c r="J213" s="574"/>
      <c r="K213" s="1503"/>
      <c r="L213" s="217"/>
      <c r="M213" s="1861"/>
      <c r="N213" s="337"/>
      <c r="O213" s="1627"/>
      <c r="P213" s="1627"/>
      <c r="AH213" s="1634">
        <v>0</v>
      </c>
    </row>
    <row s="1638" customFormat="1" customHeight="1" ht="0.75" hidden="1">
      <c r="A214" s="1782"/>
      <c r="B214" s="1782"/>
      <c r="C214" s="372" t="s">
        <v>1214</v>
      </c>
      <c r="D214" s="2484"/>
      <c r="E214" s="2226"/>
      <c r="F214" s="2405"/>
      <c r="G214" s="403"/>
      <c r="H214" s="1503"/>
      <c r="I214" s="654"/>
      <c r="J214" s="574"/>
      <c r="K214" s="1503"/>
      <c r="L214" s="217"/>
      <c r="M214" s="344"/>
      <c r="N214" s="337"/>
      <c r="O214" s="1627"/>
      <c r="P214" s="1627"/>
      <c r="AH214" s="1634">
        <v>0</v>
      </c>
    </row>
    <row s="1638" customFormat="1" customHeight="1" ht="45" hidden="1">
      <c r="A215" s="1782" t="s">
        <v>170</v>
      </c>
      <c r="B215" s="1782" t="s">
        <v>171</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307</v>
      </c>
      <c r="M215" s="344"/>
      <c r="N215" s="337"/>
      <c r="O215" s="1627"/>
      <c r="P215" s="1627"/>
      <c r="AH215" s="1634">
        <v>0</v>
      </c>
    </row>
    <row s="1638" customFormat="1" customHeight="1" ht="18.75" hidden="1">
      <c r="A216" s="1782"/>
      <c r="B216" s="1782"/>
      <c r="C216" s="372" t="s">
        <v>1207</v>
      </c>
      <c r="D216" s="2484"/>
      <c r="E216" s="2226"/>
      <c r="F216" s="2405"/>
      <c r="G216" s="2449"/>
      <c r="H216" s="1503"/>
      <c r="I216" s="654" t="s">
        <v>1206</v>
      </c>
      <c r="J216" s="574"/>
      <c r="K216" s="1503"/>
      <c r="L216" s="217"/>
      <c r="M216" s="344"/>
      <c r="N216" s="337"/>
      <c r="O216" s="1627"/>
      <c r="P216" s="1627"/>
      <c r="AH216" s="1634">
        <v>0</v>
      </c>
    </row>
    <row s="1638" customFormat="1" customHeight="1" ht="0.75" hidden="1">
      <c r="A217" s="1782"/>
      <c r="B217" s="1782"/>
      <c r="C217" s="372" t="s">
        <v>1214</v>
      </c>
      <c r="D217" s="2484"/>
      <c r="E217" s="2226"/>
      <c r="F217" s="2405"/>
      <c r="G217" s="403"/>
      <c r="H217" s="1503"/>
      <c r="I217" s="654"/>
      <c r="J217" s="574"/>
      <c r="K217" s="1503"/>
      <c r="L217" s="217"/>
      <c r="M217" s="344"/>
      <c r="N217" s="337"/>
      <c r="O217" s="1627"/>
      <c r="P217" s="1627"/>
      <c r="AH217" s="1634">
        <v>0</v>
      </c>
    </row>
    <row s="1638" customFormat="1" customHeight="1" ht="45" hidden="1">
      <c r="A218" s="1782" t="s">
        <v>176</v>
      </c>
      <c r="B218" s="1782" t="s">
        <v>177</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307</v>
      </c>
      <c r="M218" s="344"/>
      <c r="N218" s="337"/>
      <c r="O218" s="1627"/>
      <c r="P218" s="1627"/>
      <c r="AH218" s="1634">
        <v>0</v>
      </c>
    </row>
    <row s="1638" customFormat="1" customHeight="1" ht="18.75" hidden="1">
      <c r="A219" s="1782"/>
      <c r="B219" s="1782"/>
      <c r="C219" s="372" t="s">
        <v>1207</v>
      </c>
      <c r="D219" s="2484"/>
      <c r="E219" s="2226"/>
      <c r="F219" s="2405"/>
      <c r="G219" s="2449"/>
      <c r="H219" s="1503"/>
      <c r="I219" s="654" t="s">
        <v>1206</v>
      </c>
      <c r="J219" s="574"/>
      <c r="K219" s="1503"/>
      <c r="L219" s="217"/>
      <c r="M219" s="344"/>
      <c r="N219" s="337"/>
      <c r="O219" s="1627"/>
      <c r="P219" s="1627"/>
      <c r="AH219" s="1634">
        <v>0</v>
      </c>
    </row>
    <row s="1638" customFormat="1" customHeight="1" ht="0.75" hidden="1">
      <c r="A220" s="1782"/>
      <c r="B220" s="1782"/>
      <c r="C220" s="372" t="s">
        <v>1214</v>
      </c>
      <c r="D220" s="2484"/>
      <c r="E220" s="2226"/>
      <c r="F220" s="2405"/>
      <c r="G220" s="403"/>
      <c r="H220" s="1503"/>
      <c r="I220" s="654"/>
      <c r="J220" s="574"/>
      <c r="K220" s="1503"/>
      <c r="L220" s="217"/>
      <c r="M220" s="344"/>
      <c r="N220" s="337"/>
      <c r="O220" s="1627"/>
      <c r="P220" s="1627"/>
      <c r="AH220" s="1634">
        <v>0</v>
      </c>
    </row>
    <row s="1638" customFormat="1" customHeight="1" ht="18.75" hidden="1">
      <c r="A221" s="1782" t="s">
        <v>182</v>
      </c>
      <c r="B221" s="1782" t="s">
        <v>183</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307</v>
      </c>
      <c r="M221" s="344"/>
      <c r="N221" s="337"/>
      <c r="O221" s="1627"/>
      <c r="P221" s="1627"/>
      <c r="AH221" s="1634">
        <v>0</v>
      </c>
    </row>
    <row s="1638" customFormat="1" customHeight="1" ht="18.75" hidden="1">
      <c r="A222" s="1782"/>
      <c r="B222" s="1782"/>
      <c r="C222" s="372" t="s">
        <v>1207</v>
      </c>
      <c r="D222" s="2484"/>
      <c r="E222" s="2226"/>
      <c r="F222" s="2405"/>
      <c r="G222" s="2449"/>
      <c r="H222" s="1503"/>
      <c r="I222" s="654" t="s">
        <v>1206</v>
      </c>
      <c r="J222" s="574"/>
      <c r="K222" s="1503"/>
      <c r="L222" s="217"/>
      <c r="M222" s="344"/>
      <c r="N222" s="337"/>
      <c r="O222" s="1627"/>
      <c r="P222" s="1627"/>
      <c r="AH222" s="1634">
        <v>0</v>
      </c>
    </row>
    <row s="1638" customFormat="1" customHeight="1" ht="0.75" hidden="1">
      <c r="A223" s="1782"/>
      <c r="B223" s="1782"/>
      <c r="C223" s="372" t="s">
        <v>1214</v>
      </c>
      <c r="D223" s="2484"/>
      <c r="E223" s="2226"/>
      <c r="F223" s="2405"/>
      <c r="G223" s="403"/>
      <c r="H223" s="1503"/>
      <c r="I223" s="654"/>
      <c r="J223" s="574"/>
      <c r="K223" s="1503"/>
      <c r="L223" s="217"/>
      <c r="M223" s="344"/>
      <c r="N223" s="337"/>
      <c r="O223" s="1627"/>
      <c r="P223" s="1627"/>
      <c r="AH223" s="1634">
        <v>0</v>
      </c>
    </row>
    <row s="1638" customFormat="1" customHeight="1" ht="18.75" hidden="1">
      <c r="A224" s="1782" t="s">
        <v>188</v>
      </c>
      <c r="B224" s="1782" t="s">
        <v>189</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307</v>
      </c>
      <c r="M224" s="344"/>
      <c r="N224" s="337"/>
      <c r="O224" s="1627"/>
      <c r="P224" s="1627"/>
      <c r="AH224" s="1634">
        <v>0</v>
      </c>
    </row>
    <row s="1638" customFormat="1" customHeight="1" ht="18.75" hidden="1">
      <c r="A225" s="1782"/>
      <c r="B225" s="1782"/>
      <c r="C225" s="372" t="s">
        <v>1207</v>
      </c>
      <c r="D225" s="2484"/>
      <c r="E225" s="2226"/>
      <c r="F225" s="2405"/>
      <c r="G225" s="2449"/>
      <c r="H225" s="1503"/>
      <c r="I225" s="654" t="s">
        <v>1206</v>
      </c>
      <c r="J225" s="574"/>
      <c r="K225" s="1503"/>
      <c r="L225" s="217"/>
      <c r="M225" s="344"/>
      <c r="N225" s="337"/>
      <c r="O225" s="1627"/>
      <c r="P225" s="1627"/>
      <c r="AH225" s="1634">
        <v>0</v>
      </c>
    </row>
    <row s="1638" customFormat="1" customHeight="1" ht="0.75" hidden="1">
      <c r="A226" s="1782"/>
      <c r="B226" s="1782"/>
      <c r="C226" s="372" t="s">
        <v>1214</v>
      </c>
      <c r="D226" s="2484"/>
      <c r="E226" s="2226"/>
      <c r="F226" s="2405"/>
      <c r="G226" s="403"/>
      <c r="H226" s="1503"/>
      <c r="I226" s="654"/>
      <c r="J226" s="574"/>
      <c r="K226" s="1503"/>
      <c r="L226" s="217"/>
      <c r="M226" s="344"/>
      <c r="N226" s="337"/>
      <c r="O226" s="1627"/>
      <c r="P226" s="1627"/>
      <c r="AH226" s="1634">
        <v>0</v>
      </c>
    </row>
    <row s="1638" customFormat="1" customHeight="1" ht="18.75" hidden="1">
      <c r="A227" s="1782" t="s">
        <v>194</v>
      </c>
      <c r="B227" s="1782" t="s">
        <v>195</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307</v>
      </c>
      <c r="M227" s="344"/>
      <c r="N227" s="337"/>
      <c r="O227" s="1627"/>
      <c r="P227" s="1627"/>
      <c r="AH227" s="1634">
        <v>0</v>
      </c>
    </row>
    <row s="1638" customFormat="1" customHeight="1" ht="18.75" hidden="1">
      <c r="A228" s="1782"/>
      <c r="B228" s="1782"/>
      <c r="C228" s="372" t="s">
        <v>1207</v>
      </c>
      <c r="D228" s="2484"/>
      <c r="E228" s="2226"/>
      <c r="F228" s="2405"/>
      <c r="G228" s="2449"/>
      <c r="H228" s="1503"/>
      <c r="I228" s="654" t="s">
        <v>1206</v>
      </c>
      <c r="J228" s="574"/>
      <c r="K228" s="1503"/>
      <c r="L228" s="217"/>
      <c r="M228" s="344"/>
      <c r="N228" s="337"/>
      <c r="O228" s="1627"/>
      <c r="P228" s="1627"/>
      <c r="AH228" s="1634">
        <v>0</v>
      </c>
    </row>
    <row s="1638" customFormat="1" customHeight="1" ht="0.75" hidden="1">
      <c r="A229" s="1782"/>
      <c r="B229" s="1782"/>
      <c r="C229" s="372" t="s">
        <v>1214</v>
      </c>
      <c r="D229" s="2484"/>
      <c r="E229" s="2226"/>
      <c r="F229" s="2405"/>
      <c r="G229" s="403"/>
      <c r="H229" s="1503"/>
      <c r="I229" s="654"/>
      <c r="J229" s="574"/>
      <c r="K229" s="1503"/>
      <c r="L229" s="217"/>
      <c r="M229" s="344"/>
      <c r="N229" s="337"/>
      <c r="O229" s="1627"/>
      <c r="P229" s="1627"/>
      <c r="AH229" s="1634">
        <v>0</v>
      </c>
    </row>
    <row s="1638" customFormat="1" customHeight="1" ht="18.75" hidden="1">
      <c r="A230" s="1782" t="s">
        <v>200</v>
      </c>
      <c r="B230" s="1782" t="s">
        <v>201</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307</v>
      </c>
      <c r="M230" s="344"/>
      <c r="N230" s="337"/>
      <c r="O230" s="1627"/>
      <c r="P230" s="1627"/>
      <c r="AH230" s="1634">
        <v>0</v>
      </c>
    </row>
    <row s="1638" customFormat="1" customHeight="1" ht="18.75" hidden="1">
      <c r="A231" s="1782"/>
      <c r="B231" s="1782"/>
      <c r="C231" s="372" t="s">
        <v>1207</v>
      </c>
      <c r="D231" s="2484"/>
      <c r="E231" s="2226"/>
      <c r="F231" s="2405"/>
      <c r="G231" s="2449"/>
      <c r="H231" s="1503"/>
      <c r="I231" s="654" t="s">
        <v>1206</v>
      </c>
      <c r="J231" s="574"/>
      <c r="K231" s="1503"/>
      <c r="L231" s="217"/>
      <c r="M231" s="344"/>
      <c r="N231" s="337"/>
      <c r="O231" s="1627"/>
      <c r="P231" s="1627"/>
      <c r="AH231" s="1634">
        <v>0</v>
      </c>
    </row>
    <row s="1638" customFormat="1" customHeight="1" ht="0.75" hidden="1">
      <c r="A232" s="1782"/>
      <c r="B232" s="1782"/>
      <c r="C232" s="372" t="s">
        <v>1214</v>
      </c>
      <c r="D232" s="2484"/>
      <c r="E232" s="2226"/>
      <c r="F232" s="2405"/>
      <c r="G232" s="403"/>
      <c r="H232" s="1503"/>
      <c r="I232" s="654"/>
      <c r="J232" s="574"/>
      <c r="K232" s="1503"/>
      <c r="L232" s="217"/>
      <c r="M232" s="344"/>
      <c r="N232" s="337"/>
      <c r="O232" s="1627"/>
      <c r="P232" s="1627"/>
      <c r="AH232" s="1634">
        <v>0</v>
      </c>
    </row>
    <row s="1638" customFormat="1" customHeight="1" ht="18.75" hidden="1">
      <c r="A233" s="1782" t="s">
        <v>206</v>
      </c>
      <c r="B233" s="1782" t="s">
        <v>207</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307</v>
      </c>
      <c r="M233" s="344"/>
      <c r="N233" s="337"/>
      <c r="O233" s="1627"/>
      <c r="P233" s="1627"/>
      <c r="AH233" s="1634">
        <v>0</v>
      </c>
    </row>
    <row s="1638" customFormat="1" customHeight="1" ht="18.75" hidden="1">
      <c r="A234" s="1782"/>
      <c r="B234" s="1782"/>
      <c r="C234" s="372" t="s">
        <v>1207</v>
      </c>
      <c r="D234" s="2484"/>
      <c r="E234" s="2226"/>
      <c r="F234" s="2405"/>
      <c r="G234" s="2449"/>
      <c r="H234" s="1503"/>
      <c r="I234" s="654" t="s">
        <v>1206</v>
      </c>
      <c r="J234" s="574"/>
      <c r="K234" s="1503"/>
      <c r="L234" s="217"/>
      <c r="M234" s="344"/>
      <c r="N234" s="337"/>
      <c r="O234" s="1627"/>
      <c r="P234" s="1627"/>
      <c r="AH234" s="1634">
        <v>0</v>
      </c>
    </row>
    <row s="1638" customFormat="1" customHeight="1" ht="0.75" hidden="1">
      <c r="A235" s="1782"/>
      <c r="B235" s="1782"/>
      <c r="C235" s="372" t="s">
        <v>1214</v>
      </c>
      <c r="D235" s="2484"/>
      <c r="E235" s="2226"/>
      <c r="F235" s="2405"/>
      <c r="G235" s="403"/>
      <c r="H235" s="1503"/>
      <c r="I235" s="654"/>
      <c r="J235" s="574"/>
      <c r="K235" s="1503"/>
      <c r="L235" s="217"/>
      <c r="M235" s="344"/>
      <c r="N235" s="337"/>
      <c r="O235" s="1627"/>
      <c r="P235" s="1627"/>
      <c r="AH235" s="1634">
        <v>0</v>
      </c>
    </row>
    <row s="1638" customFormat="1" customHeight="1" ht="18.75" hidden="1">
      <c r="A236" s="1782" t="s">
        <v>226</v>
      </c>
      <c r="B236" s="1782" t="s">
        <v>227</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307</v>
      </c>
      <c r="M236" s="344"/>
      <c r="N236" s="337"/>
      <c r="O236" s="1627"/>
      <c r="P236" s="1627"/>
      <c r="AH236" s="1634">
        <v>0</v>
      </c>
    </row>
    <row s="1638" customFormat="1" customHeight="1" ht="18.75" hidden="1">
      <c r="A237" s="1782"/>
      <c r="B237" s="1782"/>
      <c r="C237" s="372" t="s">
        <v>1207</v>
      </c>
      <c r="D237" s="2484"/>
      <c r="E237" s="2226"/>
      <c r="F237" s="2405"/>
      <c r="G237" s="2449"/>
      <c r="H237" s="1503"/>
      <c r="I237" s="654" t="s">
        <v>1206</v>
      </c>
      <c r="J237" s="574"/>
      <c r="K237" s="1503"/>
      <c r="L237" s="217"/>
      <c r="M237" s="344"/>
      <c r="N237" s="337"/>
      <c r="O237" s="1627"/>
      <c r="P237" s="1627"/>
      <c r="AH237" s="1634">
        <v>0</v>
      </c>
    </row>
    <row s="1638" customFormat="1" customHeight="1" ht="0.75" hidden="1">
      <c r="A238" s="1782"/>
      <c r="B238" s="1782"/>
      <c r="C238" s="372" t="s">
        <v>1214</v>
      </c>
      <c r="D238" s="2484"/>
      <c r="E238" s="2226"/>
      <c r="F238" s="2405"/>
      <c r="G238" s="403"/>
      <c r="H238" s="1503"/>
      <c r="I238" s="654"/>
      <c r="J238" s="574"/>
      <c r="K238" s="1503"/>
      <c r="L238" s="217"/>
      <c r="M238" s="344"/>
      <c r="N238" s="337"/>
      <c r="O238" s="1627"/>
      <c r="P238" s="1627"/>
      <c r="AH238" s="1634">
        <v>0</v>
      </c>
    </row>
    <row s="1638" customFormat="1" customHeight="1" ht="18.75" hidden="1">
      <c r="A239" s="1782" t="s">
        <v>231</v>
      </c>
      <c r="B239" s="1782" t="s">
        <v>232</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307</v>
      </c>
      <c r="M239" s="344"/>
      <c r="N239" s="337"/>
      <c r="O239" s="1627"/>
      <c r="P239" s="1627"/>
      <c r="AH239" s="1634">
        <v>0</v>
      </c>
    </row>
    <row s="1638" customFormat="1" customHeight="1" ht="18.75" hidden="1">
      <c r="A240" s="1782"/>
      <c r="B240" s="1782"/>
      <c r="C240" s="372" t="s">
        <v>1207</v>
      </c>
      <c r="D240" s="2484"/>
      <c r="E240" s="2226"/>
      <c r="F240" s="2405"/>
      <c r="G240" s="2449"/>
      <c r="H240" s="1503"/>
      <c r="I240" s="654" t="s">
        <v>1206</v>
      </c>
      <c r="J240" s="574"/>
      <c r="K240" s="1503"/>
      <c r="L240" s="217"/>
      <c r="M240" s="344"/>
      <c r="N240" s="337"/>
      <c r="O240" s="1627"/>
      <c r="P240" s="1627"/>
      <c r="AH240" s="1634">
        <v>0</v>
      </c>
    </row>
    <row s="1638" customFormat="1" customHeight="1" ht="0.75" hidden="1">
      <c r="A241" s="1782"/>
      <c r="B241" s="1782"/>
      <c r="C241" s="372" t="s">
        <v>1214</v>
      </c>
      <c r="D241" s="2484"/>
      <c r="E241" s="2226"/>
      <c r="F241" s="2405"/>
      <c r="G241" s="403"/>
      <c r="H241" s="1503"/>
      <c r="I241" s="654"/>
      <c r="J241" s="574"/>
      <c r="K241" s="1503"/>
      <c r="L241" s="217"/>
      <c r="M241" s="344"/>
      <c r="N241" s="337"/>
      <c r="O241" s="1627"/>
      <c r="P241" s="1627"/>
      <c r="AH241" s="1634">
        <v>0</v>
      </c>
    </row>
    <row s="1638" customFormat="1" customHeight="1" ht="18.75" hidden="1">
      <c r="A242" s="1782" t="s">
        <v>236</v>
      </c>
      <c r="B242" s="1782" t="s">
        <v>237</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307</v>
      </c>
      <c r="M242" s="344"/>
      <c r="N242" s="337"/>
      <c r="O242" s="1627"/>
      <c r="P242" s="1627"/>
      <c r="AH242" s="1634">
        <v>0</v>
      </c>
    </row>
    <row s="1638" customFormat="1" customHeight="1" ht="18.75" hidden="1">
      <c r="A243" s="1782"/>
      <c r="B243" s="1782"/>
      <c r="C243" s="372" t="s">
        <v>1207</v>
      </c>
      <c r="D243" s="2484"/>
      <c r="E243" s="2226"/>
      <c r="F243" s="2405"/>
      <c r="G243" s="2449"/>
      <c r="H243" s="1503"/>
      <c r="I243" s="654" t="s">
        <v>1206</v>
      </c>
      <c r="J243" s="574"/>
      <c r="K243" s="1503"/>
      <c r="L243" s="217"/>
      <c r="M243" s="344"/>
      <c r="N243" s="337"/>
      <c r="O243" s="1627"/>
      <c r="P243" s="1627"/>
      <c r="AH243" s="1634">
        <v>0</v>
      </c>
    </row>
    <row s="1638" customFormat="1" customHeight="1" ht="0.75" hidden="1">
      <c r="A244" s="1782"/>
      <c r="B244" s="1782"/>
      <c r="C244" s="372" t="s">
        <v>1214</v>
      </c>
      <c r="D244" s="2484"/>
      <c r="E244" s="2226"/>
      <c r="F244" s="2405"/>
      <c r="G244" s="403"/>
      <c r="H244" s="1503"/>
      <c r="I244" s="654"/>
      <c r="J244" s="574"/>
      <c r="K244" s="1503"/>
      <c r="L244" s="217"/>
      <c r="M244" s="344"/>
      <c r="N244" s="337"/>
      <c r="O244" s="1627"/>
      <c r="P244" s="1627"/>
      <c r="AH244" s="1634">
        <v>0</v>
      </c>
    </row>
    <row s="1638" customFormat="1" customHeight="1" ht="18.75" hidden="1">
      <c r="A245" s="1782" t="s">
        <v>241</v>
      </c>
      <c r="B245" s="1782" t="s">
        <v>242</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307</v>
      </c>
      <c r="M245" s="344"/>
      <c r="N245" s="337"/>
      <c r="O245" s="1627"/>
      <c r="P245" s="1627"/>
      <c r="AH245" s="1634">
        <v>0</v>
      </c>
    </row>
    <row s="1638" customFormat="1" customHeight="1" ht="18.75" hidden="1">
      <c r="A246" s="1782"/>
      <c r="B246" s="1782"/>
      <c r="C246" s="372" t="s">
        <v>1207</v>
      </c>
      <c r="D246" s="2484"/>
      <c r="E246" s="2226"/>
      <c r="F246" s="2405"/>
      <c r="G246" s="2449"/>
      <c r="H246" s="1503"/>
      <c r="I246" s="654" t="s">
        <v>1206</v>
      </c>
      <c r="J246" s="574"/>
      <c r="K246" s="1503"/>
      <c r="L246" s="217"/>
      <c r="M246" s="344"/>
      <c r="N246" s="337"/>
      <c r="O246" s="1627"/>
      <c r="P246" s="1627"/>
      <c r="AH246" s="1634">
        <v>0</v>
      </c>
    </row>
    <row s="1638" customFormat="1" customHeight="1" ht="0.75" hidden="1">
      <c r="A247" s="1782"/>
      <c r="B247" s="1782"/>
      <c r="C247" s="372" t="s">
        <v>1214</v>
      </c>
      <c r="D247" s="2484"/>
      <c r="E247" s="2226"/>
      <c r="F247" s="2405"/>
      <c r="G247" s="403"/>
      <c r="H247" s="1503"/>
      <c r="I247" s="654"/>
      <c r="J247" s="574"/>
      <c r="K247" s="1503"/>
      <c r="L247" s="217"/>
      <c r="M247" s="344"/>
      <c r="N247" s="337"/>
      <c r="O247" s="1627"/>
      <c r="P247" s="1627"/>
      <c r="AH247" s="1634">
        <v>0</v>
      </c>
    </row>
    <row s="1638" customFormat="1" customHeight="1" ht="18.75" hidden="1">
      <c r="A248" s="1782" t="s">
        <v>246</v>
      </c>
      <c r="B248" s="1782" t="s">
        <v>247</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307</v>
      </c>
      <c r="M248" s="344"/>
      <c r="N248" s="337"/>
      <c r="O248" s="1627"/>
      <c r="P248" s="1627"/>
      <c r="AH248" s="1634">
        <v>0</v>
      </c>
    </row>
    <row s="1638" customFormat="1" customHeight="1" ht="18.75" hidden="1">
      <c r="A249" s="1782"/>
      <c r="B249" s="1782"/>
      <c r="C249" s="372" t="s">
        <v>1207</v>
      </c>
      <c r="D249" s="2484"/>
      <c r="E249" s="2226"/>
      <c r="F249" s="2405"/>
      <c r="G249" s="2449"/>
      <c r="H249" s="1503"/>
      <c r="I249" s="654" t="s">
        <v>1206</v>
      </c>
      <c r="J249" s="574"/>
      <c r="K249" s="1503"/>
      <c r="L249" s="217"/>
      <c r="M249" s="344"/>
      <c r="N249" s="337"/>
      <c r="O249" s="1627"/>
      <c r="P249" s="1627"/>
      <c r="AH249" s="1634">
        <v>0</v>
      </c>
    </row>
    <row s="1638" customFormat="1" customHeight="1" ht="0.75" hidden="1">
      <c r="A250" s="1782"/>
      <c r="B250" s="1782"/>
      <c r="C250" s="372" t="s">
        <v>1214</v>
      </c>
      <c r="D250" s="2484"/>
      <c r="E250" s="2226"/>
      <c r="F250" s="2405"/>
      <c r="G250" s="403"/>
      <c r="H250" s="1503"/>
      <c r="I250" s="654"/>
      <c r="J250" s="574"/>
      <c r="K250" s="1503"/>
      <c r="L250" s="217"/>
      <c r="M250" s="344"/>
      <c r="N250" s="337"/>
      <c r="O250" s="1627"/>
      <c r="P250" s="1627"/>
      <c r="AH250" s="1634">
        <v>0</v>
      </c>
    </row>
    <row s="1638" customFormat="1" customHeight="1" ht="18.75" hidden="1">
      <c r="A251" s="1782" t="s">
        <v>251</v>
      </c>
      <c r="B251" s="1782" t="s">
        <v>252</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307</v>
      </c>
      <c r="M251" s="344"/>
      <c r="N251" s="337"/>
      <c r="O251" s="1627"/>
      <c r="P251" s="1627"/>
      <c r="AH251" s="1634">
        <v>0</v>
      </c>
    </row>
    <row s="1638" customFormat="1" customHeight="1" ht="18.75" hidden="1">
      <c r="A252" s="1782"/>
      <c r="B252" s="1782"/>
      <c r="C252" s="372" t="s">
        <v>1207</v>
      </c>
      <c r="D252" s="2484"/>
      <c r="E252" s="2226"/>
      <c r="F252" s="2405"/>
      <c r="G252" s="2449"/>
      <c r="H252" s="1503"/>
      <c r="I252" s="654" t="s">
        <v>1206</v>
      </c>
      <c r="J252" s="574"/>
      <c r="K252" s="1503"/>
      <c r="L252" s="217"/>
      <c r="M252" s="344"/>
      <c r="N252" s="337"/>
      <c r="O252" s="1627"/>
      <c r="P252" s="1627"/>
      <c r="AH252" s="1634">
        <v>0</v>
      </c>
    </row>
    <row s="1638" customFormat="1" customHeight="1" ht="0.75" hidden="1">
      <c r="A253" s="1782"/>
      <c r="B253" s="1782"/>
      <c r="C253" s="372" t="s">
        <v>1214</v>
      </c>
      <c r="D253" s="2484"/>
      <c r="E253" s="2226"/>
      <c r="F253" s="2405"/>
      <c r="G253" s="403"/>
      <c r="H253" s="1503"/>
      <c r="I253" s="654"/>
      <c r="J253" s="574"/>
      <c r="K253" s="1503"/>
      <c r="L253" s="217"/>
      <c r="M253" s="344"/>
      <c r="N253" s="337"/>
      <c r="O253" s="1627"/>
      <c r="P253" s="1627"/>
      <c r="AH253" s="1634">
        <v>0</v>
      </c>
    </row>
    <row s="1638" customFormat="1" customHeight="1" ht="18.75" hidden="1">
      <c r="A254" s="1782" t="s">
        <v>256</v>
      </c>
      <c r="B254" s="1782" t="s">
        <v>257</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307</v>
      </c>
      <c r="M254" s="344"/>
      <c r="N254" s="337"/>
      <c r="O254" s="1627"/>
      <c r="P254" s="1627"/>
      <c r="AH254" s="1634">
        <v>0</v>
      </c>
    </row>
    <row s="1638" customFormat="1" customHeight="1" ht="18.75" hidden="1">
      <c r="A255" s="1782"/>
      <c r="B255" s="1782"/>
      <c r="C255" s="372" t="s">
        <v>1207</v>
      </c>
      <c r="D255" s="2484"/>
      <c r="E255" s="2226"/>
      <c r="F255" s="2405"/>
      <c r="G255" s="2449"/>
      <c r="H255" s="1503"/>
      <c r="I255" s="654" t="s">
        <v>1206</v>
      </c>
      <c r="J255" s="574"/>
      <c r="K255" s="1503"/>
      <c r="L255" s="217"/>
      <c r="M255" s="344"/>
      <c r="N255" s="337"/>
      <c r="O255" s="1627"/>
      <c r="P255" s="1627"/>
      <c r="AH255" s="1634">
        <v>0</v>
      </c>
    </row>
    <row s="1638" customFormat="1" customHeight="1" ht="0.75" hidden="1">
      <c r="A256" s="1782"/>
      <c r="B256" s="1782"/>
      <c r="C256" s="372" t="s">
        <v>1214</v>
      </c>
      <c r="D256" s="2484"/>
      <c r="E256" s="2226"/>
      <c r="F256" s="2405"/>
      <c r="G256" s="403"/>
      <c r="H256" s="1503"/>
      <c r="I256" s="654"/>
      <c r="J256" s="574"/>
      <c r="K256" s="1503"/>
      <c r="L256" s="217"/>
      <c r="M256" s="344"/>
      <c r="N256" s="337"/>
      <c r="O256" s="1627"/>
      <c r="P256" s="1627"/>
      <c r="AH256" s="1634">
        <v>0</v>
      </c>
    </row>
    <row s="1638" customFormat="1" customHeight="1" ht="18.75" hidden="1">
      <c r="A257" s="1782" t="s">
        <v>261</v>
      </c>
      <c r="B257" s="1782" t="s">
        <v>262</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307</v>
      </c>
      <c r="M257" s="344"/>
      <c r="N257" s="337"/>
      <c r="O257" s="1627"/>
      <c r="P257" s="1627"/>
      <c r="AH257" s="1634">
        <v>0</v>
      </c>
    </row>
    <row s="1638" customFormat="1" customHeight="1" ht="18.75" hidden="1">
      <c r="A258" s="1782"/>
      <c r="B258" s="1782"/>
      <c r="C258" s="372" t="s">
        <v>1207</v>
      </c>
      <c r="D258" s="2484"/>
      <c r="E258" s="2226"/>
      <c r="F258" s="2405"/>
      <c r="G258" s="2449"/>
      <c r="H258" s="1503"/>
      <c r="I258" s="654" t="s">
        <v>1206</v>
      </c>
      <c r="J258" s="574"/>
      <c r="K258" s="1503"/>
      <c r="L258" s="217"/>
      <c r="M258" s="344"/>
      <c r="N258" s="337"/>
      <c r="O258" s="1627"/>
      <c r="P258" s="1627"/>
      <c r="AH258" s="1634">
        <v>0</v>
      </c>
    </row>
    <row s="1638" customFormat="1" customHeight="1" ht="0.75" hidden="1">
      <c r="A259" s="1782"/>
      <c r="B259" s="1782"/>
      <c r="C259" s="372" t="s">
        <v>1214</v>
      </c>
      <c r="D259" s="2484"/>
      <c r="E259" s="2226"/>
      <c r="F259" s="2405"/>
      <c r="G259" s="403"/>
      <c r="H259" s="1503"/>
      <c r="I259" s="654"/>
      <c r="J259" s="574"/>
      <c r="K259" s="1503"/>
      <c r="L259" s="217"/>
      <c r="M259" s="344"/>
      <c r="N259" s="337"/>
      <c r="O259" s="1627"/>
      <c r="P259" s="1627"/>
      <c r="AH259" s="1634">
        <v>0</v>
      </c>
    </row>
    <row s="1638" customFormat="1" customHeight="1" ht="18.75" hidden="1">
      <c r="A260" s="1782" t="s">
        <v>266</v>
      </c>
      <c r="B260" s="1782" t="s">
        <v>267</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307</v>
      </c>
      <c r="M260" s="344"/>
      <c r="N260" s="337"/>
      <c r="O260" s="1627"/>
      <c r="P260" s="1627"/>
      <c r="AH260" s="1634">
        <v>0</v>
      </c>
    </row>
    <row s="1638" customFormat="1" customHeight="1" ht="18.75" hidden="1">
      <c r="A261" s="1782"/>
      <c r="B261" s="1782"/>
      <c r="C261" s="372" t="s">
        <v>1207</v>
      </c>
      <c r="D261" s="2484"/>
      <c r="E261" s="2226"/>
      <c r="F261" s="2405"/>
      <c r="G261" s="2449"/>
      <c r="H261" s="1503"/>
      <c r="I261" s="654" t="s">
        <v>1206</v>
      </c>
      <c r="J261" s="574"/>
      <c r="K261" s="1503"/>
      <c r="L261" s="217"/>
      <c r="M261" s="344"/>
      <c r="N261" s="337"/>
      <c r="O261" s="1627"/>
      <c r="P261" s="1627"/>
      <c r="AH261" s="1634">
        <v>0</v>
      </c>
    </row>
    <row s="1638" customFormat="1" customHeight="1" ht="0.75" hidden="1">
      <c r="A262" s="1782"/>
      <c r="B262" s="1782"/>
      <c r="C262" s="372" t="s">
        <v>1214</v>
      </c>
      <c r="D262" s="2484"/>
      <c r="E262" s="2226"/>
      <c r="F262" s="2405"/>
      <c r="G262" s="403"/>
      <c r="H262" s="1503"/>
      <c r="I262" s="654"/>
      <c r="J262" s="574"/>
      <c r="K262" s="1503"/>
      <c r="L262" s="217"/>
      <c r="M262" s="344"/>
      <c r="N262" s="337"/>
      <c r="O262" s="1627"/>
      <c r="P262" s="1627"/>
      <c r="AH262" s="1634">
        <v>0</v>
      </c>
    </row>
    <row s="1638" customFormat="1" customHeight="1" ht="18.75" hidden="1">
      <c r="A263" s="1782" t="s">
        <v>271</v>
      </c>
      <c r="B263" s="1782" t="s">
        <v>272</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307</v>
      </c>
      <c r="M263" s="344"/>
      <c r="N263" s="337"/>
      <c r="O263" s="1627"/>
      <c r="P263" s="1627"/>
      <c r="AH263" s="1634">
        <v>0</v>
      </c>
    </row>
    <row s="1638" customFormat="1" customHeight="1" ht="18.75" hidden="1">
      <c r="A264" s="1782"/>
      <c r="B264" s="1782"/>
      <c r="C264" s="372" t="s">
        <v>1207</v>
      </c>
      <c r="D264" s="2484"/>
      <c r="E264" s="2226"/>
      <c r="F264" s="2405"/>
      <c r="G264" s="2449"/>
      <c r="H264" s="1503"/>
      <c r="I264" s="654" t="s">
        <v>1206</v>
      </c>
      <c r="J264" s="574"/>
      <c r="K264" s="1503"/>
      <c r="L264" s="217"/>
      <c r="M264" s="344"/>
      <c r="N264" s="337"/>
      <c r="O264" s="1627"/>
      <c r="P264" s="1627"/>
      <c r="AH264" s="1634">
        <v>0</v>
      </c>
    </row>
    <row s="1638" customFormat="1" customHeight="1" ht="0.75" hidden="1">
      <c r="A265" s="1782"/>
      <c r="B265" s="1782"/>
      <c r="C265" s="372" t="s">
        <v>1214</v>
      </c>
      <c r="D265" s="2484"/>
      <c r="E265" s="2226"/>
      <c r="F265" s="2405"/>
      <c r="G265" s="403"/>
      <c r="H265" s="1503"/>
      <c r="I265" s="654"/>
      <c r="J265" s="574"/>
      <c r="K265" s="1503"/>
      <c r="L265" s="217"/>
      <c r="M265" s="344"/>
      <c r="N265" s="337"/>
      <c r="O265" s="1627"/>
      <c r="P265" s="1627"/>
      <c r="AH265" s="1634">
        <v>0</v>
      </c>
    </row>
    <row s="1638" customFormat="1" customHeight="1" ht="18.75" hidden="1">
      <c r="A266" s="1782" t="s">
        <v>276</v>
      </c>
      <c r="B266" s="1782" t="s">
        <v>277</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307</v>
      </c>
      <c r="M266" s="344"/>
      <c r="N266" s="337"/>
      <c r="O266" s="1627"/>
      <c r="P266" s="1627"/>
      <c r="AH266" s="1634">
        <v>0</v>
      </c>
    </row>
    <row s="1638" customFormat="1" customHeight="1" ht="18.75" hidden="1">
      <c r="A267" s="1782"/>
      <c r="B267" s="1782"/>
      <c r="C267" s="372" t="s">
        <v>1207</v>
      </c>
      <c r="D267" s="2484"/>
      <c r="E267" s="2226"/>
      <c r="F267" s="2405"/>
      <c r="G267" s="2449"/>
      <c r="H267" s="1503"/>
      <c r="I267" s="654" t="s">
        <v>1206</v>
      </c>
      <c r="J267" s="574"/>
      <c r="K267" s="1503"/>
      <c r="L267" s="217"/>
      <c r="M267" s="344"/>
      <c r="N267" s="337"/>
      <c r="O267" s="1627"/>
      <c r="P267" s="1627"/>
      <c r="AH267" s="1634">
        <v>0</v>
      </c>
    </row>
    <row s="1638" customFormat="1" customHeight="1" ht="1.05">
      <c r="A268" s="1782"/>
      <c r="B268" s="1782"/>
      <c r="C268" s="372" t="s">
        <v>1214</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92</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2"/>
      <c r="H269" s="2482"/>
      <c r="I269" s="2482"/>
      <c r="J269" s="2482"/>
      <c r="K269" s="2482"/>
      <c r="L269" s="2482"/>
      <c r="M269" s="300"/>
      <c r="N269" s="337"/>
      <c r="AH269" s="377">
        <v>26</v>
      </c>
    </row>
    <row s="1638" customFormat="1" customHeight="1" ht="60.75" hidden="1">
      <c r="A270" s="1782" t="s">
        <v>158</v>
      </c>
      <c r="B270" s="1782" t="s">
        <v>159</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307</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1207</v>
      </c>
      <c r="D271" s="2484"/>
      <c r="E271" s="2226"/>
      <c r="F271" s="2405"/>
      <c r="G271" s="2449"/>
      <c r="H271" s="1503"/>
      <c r="I271" s="654" t="s">
        <v>1206</v>
      </c>
      <c r="J271" s="574"/>
      <c r="K271" s="1503"/>
      <c r="L271" s="217"/>
      <c r="M271" s="2192"/>
      <c r="N271" s="337"/>
      <c r="O271" s="1627"/>
      <c r="P271" s="1627"/>
      <c r="AH271" s="1634">
        <v>0</v>
      </c>
    </row>
    <row s="1638" customFormat="1" customHeight="1" ht="0.75" hidden="1">
      <c r="A272" s="1782"/>
      <c r="B272" s="1782"/>
      <c r="C272" s="372" t="s">
        <v>1214</v>
      </c>
      <c r="D272" s="2484"/>
      <c r="E272" s="2226"/>
      <c r="F272" s="2405"/>
      <c r="G272" s="403"/>
      <c r="H272" s="1503"/>
      <c r="I272" s="654"/>
      <c r="J272" s="574"/>
      <c r="K272" s="1503"/>
      <c r="L272" s="217"/>
      <c r="M272" s="2192"/>
      <c r="N272" s="337"/>
      <c r="O272" s="1627"/>
      <c r="P272" s="1627"/>
      <c r="AH272" s="1634">
        <v>0</v>
      </c>
    </row>
    <row s="1638" customFormat="1" customHeight="1" ht="45" hidden="1">
      <c r="A273" s="1782" t="s">
        <v>163</v>
      </c>
      <c r="B273" s="1782" t="s">
        <v>164</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307</v>
      </c>
      <c r="M273" s="2193"/>
      <c r="N273" s="337"/>
      <c r="O273" s="1627"/>
      <c r="P273" s="1627"/>
      <c r="AH273" s="1634">
        <v>0</v>
      </c>
    </row>
    <row s="1638" customFormat="1" customHeight="1" ht="18.75" hidden="1">
      <c r="A274" s="1782"/>
      <c r="B274" s="1782"/>
      <c r="C274" s="372" t="s">
        <v>1207</v>
      </c>
      <c r="D274" s="2484"/>
      <c r="E274" s="2226"/>
      <c r="F274" s="2405"/>
      <c r="G274" s="2449"/>
      <c r="H274" s="1503"/>
      <c r="I274" s="654" t="s">
        <v>1206</v>
      </c>
      <c r="J274" s="574"/>
      <c r="K274" s="1503"/>
      <c r="L274" s="217"/>
      <c r="M274" s="1861"/>
      <c r="N274" s="337"/>
      <c r="O274" s="1627"/>
      <c r="P274" s="1627"/>
      <c r="AH274" s="1634">
        <v>0</v>
      </c>
    </row>
    <row s="1638" customFormat="1" customHeight="1" ht="0.75" hidden="1">
      <c r="A275" s="1782"/>
      <c r="B275" s="1782"/>
      <c r="C275" s="372" t="s">
        <v>1214</v>
      </c>
      <c r="D275" s="2484"/>
      <c r="E275" s="2226"/>
      <c r="F275" s="2405"/>
      <c r="G275" s="403"/>
      <c r="H275" s="1503"/>
      <c r="I275" s="654"/>
      <c r="J275" s="574"/>
      <c r="K275" s="1503"/>
      <c r="L275" s="217"/>
      <c r="M275" s="344"/>
      <c r="N275" s="337"/>
      <c r="O275" s="1627"/>
      <c r="P275" s="1627"/>
      <c r="AH275" s="1634">
        <v>0</v>
      </c>
    </row>
    <row s="1638" customFormat="1" customHeight="1" ht="45" hidden="1">
      <c r="A276" s="1782" t="s">
        <v>170</v>
      </c>
      <c r="B276" s="1782" t="s">
        <v>171</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307</v>
      </c>
      <c r="M276" s="344"/>
      <c r="N276" s="337"/>
      <c r="O276" s="1627"/>
      <c r="P276" s="1627"/>
      <c r="AH276" s="1634">
        <v>0</v>
      </c>
    </row>
    <row s="1638" customFormat="1" customHeight="1" ht="18.75" hidden="1">
      <c r="A277" s="1782"/>
      <c r="B277" s="1782"/>
      <c r="C277" s="372" t="s">
        <v>1207</v>
      </c>
      <c r="D277" s="2484"/>
      <c r="E277" s="2226"/>
      <c r="F277" s="2405"/>
      <c r="G277" s="2449"/>
      <c r="H277" s="1503"/>
      <c r="I277" s="654" t="s">
        <v>1206</v>
      </c>
      <c r="J277" s="574"/>
      <c r="K277" s="1503"/>
      <c r="L277" s="217"/>
      <c r="M277" s="344"/>
      <c r="N277" s="337"/>
      <c r="O277" s="1627"/>
      <c r="P277" s="1627"/>
      <c r="AH277" s="1634">
        <v>0</v>
      </c>
    </row>
    <row s="1638" customFormat="1" customHeight="1" ht="0.75" hidden="1">
      <c r="A278" s="1782"/>
      <c r="B278" s="1782"/>
      <c r="C278" s="372" t="s">
        <v>1214</v>
      </c>
      <c r="D278" s="2484"/>
      <c r="E278" s="2226"/>
      <c r="F278" s="2405"/>
      <c r="G278" s="403"/>
      <c r="H278" s="1503"/>
      <c r="I278" s="654"/>
      <c r="J278" s="574"/>
      <c r="K278" s="1503"/>
      <c r="L278" s="217"/>
      <c r="M278" s="344"/>
      <c r="N278" s="337"/>
      <c r="O278" s="1627"/>
      <c r="P278" s="1627"/>
      <c r="AH278" s="1634">
        <v>0</v>
      </c>
    </row>
    <row s="1638" customFormat="1" customHeight="1" ht="45" hidden="1">
      <c r="A279" s="1782" t="s">
        <v>176</v>
      </c>
      <c r="B279" s="1782" t="s">
        <v>177</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307</v>
      </c>
      <c r="M279" s="344"/>
      <c r="N279" s="337"/>
      <c r="O279" s="1627"/>
      <c r="P279" s="1627"/>
      <c r="AH279" s="1634">
        <v>0</v>
      </c>
    </row>
    <row s="1638" customFormat="1" customHeight="1" ht="18.75" hidden="1">
      <c r="A280" s="1782"/>
      <c r="B280" s="1782"/>
      <c r="C280" s="372" t="s">
        <v>1207</v>
      </c>
      <c r="D280" s="2484"/>
      <c r="E280" s="2226"/>
      <c r="F280" s="2405"/>
      <c r="G280" s="2449"/>
      <c r="H280" s="1503"/>
      <c r="I280" s="654" t="s">
        <v>1206</v>
      </c>
      <c r="J280" s="574"/>
      <c r="K280" s="1503"/>
      <c r="L280" s="217"/>
      <c r="M280" s="344"/>
      <c r="N280" s="337"/>
      <c r="O280" s="1627"/>
      <c r="P280" s="1627"/>
      <c r="AH280" s="1634">
        <v>0</v>
      </c>
    </row>
    <row s="1638" customFormat="1" customHeight="1" ht="0.75" hidden="1">
      <c r="A281" s="1782"/>
      <c r="B281" s="1782"/>
      <c r="C281" s="372" t="s">
        <v>1214</v>
      </c>
      <c r="D281" s="2484"/>
      <c r="E281" s="2226"/>
      <c r="F281" s="2405"/>
      <c r="G281" s="403"/>
      <c r="H281" s="1503"/>
      <c r="I281" s="654"/>
      <c r="J281" s="574"/>
      <c r="K281" s="1503"/>
      <c r="L281" s="217"/>
      <c r="M281" s="344"/>
      <c r="N281" s="337"/>
      <c r="O281" s="1627"/>
      <c r="P281" s="1627"/>
      <c r="AH281" s="1634">
        <v>0</v>
      </c>
    </row>
    <row s="1638" customFormat="1" customHeight="1" ht="18.75" hidden="1">
      <c r="A282" s="1782" t="s">
        <v>182</v>
      </c>
      <c r="B282" s="1782" t="s">
        <v>183</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307</v>
      </c>
      <c r="M282" s="344"/>
      <c r="N282" s="337"/>
      <c r="O282" s="1627"/>
      <c r="P282" s="1627"/>
      <c r="AH282" s="1634">
        <v>0</v>
      </c>
    </row>
    <row s="1638" customFormat="1" customHeight="1" ht="18.75" hidden="1">
      <c r="A283" s="1782"/>
      <c r="B283" s="1782"/>
      <c r="C283" s="372" t="s">
        <v>1207</v>
      </c>
      <c r="D283" s="2484"/>
      <c r="E283" s="2226"/>
      <c r="F283" s="2405"/>
      <c r="G283" s="2449"/>
      <c r="H283" s="1503"/>
      <c r="I283" s="654" t="s">
        <v>1206</v>
      </c>
      <c r="J283" s="574"/>
      <c r="K283" s="1503"/>
      <c r="L283" s="217"/>
      <c r="M283" s="344"/>
      <c r="N283" s="337"/>
      <c r="O283" s="1627"/>
      <c r="P283" s="1627"/>
      <c r="AH283" s="1634">
        <v>0</v>
      </c>
    </row>
    <row s="1638" customFormat="1" customHeight="1" ht="0.75" hidden="1">
      <c r="A284" s="1782"/>
      <c r="B284" s="1782"/>
      <c r="C284" s="372" t="s">
        <v>1214</v>
      </c>
      <c r="D284" s="2484"/>
      <c r="E284" s="2226"/>
      <c r="F284" s="2405"/>
      <c r="G284" s="403"/>
      <c r="H284" s="1503"/>
      <c r="I284" s="654"/>
      <c r="J284" s="574"/>
      <c r="K284" s="1503"/>
      <c r="L284" s="217"/>
      <c r="M284" s="344"/>
      <c r="N284" s="337"/>
      <c r="O284" s="1627"/>
      <c r="P284" s="1627"/>
      <c r="AH284" s="1634">
        <v>0</v>
      </c>
    </row>
    <row s="1638" customFormat="1" customHeight="1" ht="18.75" hidden="1">
      <c r="A285" s="1782" t="s">
        <v>188</v>
      </c>
      <c r="B285" s="1782" t="s">
        <v>189</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307</v>
      </c>
      <c r="M285" s="344"/>
      <c r="N285" s="337"/>
      <c r="O285" s="1627"/>
      <c r="P285" s="1627"/>
      <c r="AH285" s="1634">
        <v>0</v>
      </c>
    </row>
    <row s="1638" customFormat="1" customHeight="1" ht="18.75" hidden="1">
      <c r="A286" s="1782"/>
      <c r="B286" s="1782"/>
      <c r="C286" s="372" t="s">
        <v>1207</v>
      </c>
      <c r="D286" s="2484"/>
      <c r="E286" s="2226"/>
      <c r="F286" s="2405"/>
      <c r="G286" s="2449"/>
      <c r="H286" s="1503"/>
      <c r="I286" s="654" t="s">
        <v>1206</v>
      </c>
      <c r="J286" s="574"/>
      <c r="K286" s="1503"/>
      <c r="L286" s="217"/>
      <c r="M286" s="344"/>
      <c r="N286" s="337"/>
      <c r="O286" s="1627"/>
      <c r="P286" s="1627"/>
      <c r="AH286" s="1634">
        <v>0</v>
      </c>
    </row>
    <row s="1638" customFormat="1" customHeight="1" ht="0.75" hidden="1">
      <c r="A287" s="1782"/>
      <c r="B287" s="1782"/>
      <c r="C287" s="372" t="s">
        <v>1214</v>
      </c>
      <c r="D287" s="2484"/>
      <c r="E287" s="2226"/>
      <c r="F287" s="2405"/>
      <c r="G287" s="403"/>
      <c r="H287" s="1503"/>
      <c r="I287" s="654"/>
      <c r="J287" s="574"/>
      <c r="K287" s="1503"/>
      <c r="L287" s="217"/>
      <c r="M287" s="344"/>
      <c r="N287" s="337"/>
      <c r="O287" s="1627"/>
      <c r="P287" s="1627"/>
      <c r="AH287" s="1634">
        <v>0</v>
      </c>
    </row>
    <row s="1638" customFormat="1" customHeight="1" ht="18.75" hidden="1">
      <c r="A288" s="1782" t="s">
        <v>194</v>
      </c>
      <c r="B288" s="1782" t="s">
        <v>195</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307</v>
      </c>
      <c r="M288" s="344"/>
      <c r="N288" s="337"/>
      <c r="O288" s="1627"/>
      <c r="P288" s="1627"/>
      <c r="AH288" s="1634">
        <v>0</v>
      </c>
    </row>
    <row s="1638" customFormat="1" customHeight="1" ht="18.75" hidden="1">
      <c r="A289" s="1782"/>
      <c r="B289" s="1782"/>
      <c r="C289" s="372" t="s">
        <v>1207</v>
      </c>
      <c r="D289" s="2484"/>
      <c r="E289" s="2226"/>
      <c r="F289" s="2405"/>
      <c r="G289" s="2449"/>
      <c r="H289" s="1503"/>
      <c r="I289" s="654" t="s">
        <v>1206</v>
      </c>
      <c r="J289" s="574"/>
      <c r="K289" s="1503"/>
      <c r="L289" s="217"/>
      <c r="M289" s="344"/>
      <c r="N289" s="337"/>
      <c r="O289" s="1627"/>
      <c r="P289" s="1627"/>
      <c r="AH289" s="1634">
        <v>0</v>
      </c>
    </row>
    <row s="1638" customFormat="1" customHeight="1" ht="0.75" hidden="1">
      <c r="A290" s="1782"/>
      <c r="B290" s="1782"/>
      <c r="C290" s="372" t="s">
        <v>1214</v>
      </c>
      <c r="D290" s="2484"/>
      <c r="E290" s="2226"/>
      <c r="F290" s="2405"/>
      <c r="G290" s="403"/>
      <c r="H290" s="1503"/>
      <c r="I290" s="654"/>
      <c r="J290" s="574"/>
      <c r="K290" s="1503"/>
      <c r="L290" s="217"/>
      <c r="M290" s="344"/>
      <c r="N290" s="337"/>
      <c r="O290" s="1627"/>
      <c r="P290" s="1627"/>
      <c r="AH290" s="1634">
        <v>0</v>
      </c>
    </row>
    <row s="1638" customFormat="1" customHeight="1" ht="18.75" hidden="1">
      <c r="A291" s="1782" t="s">
        <v>200</v>
      </c>
      <c r="B291" s="1782" t="s">
        <v>201</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307</v>
      </c>
      <c r="M291" s="344"/>
      <c r="N291" s="337"/>
      <c r="O291" s="1627"/>
      <c r="P291" s="1627"/>
      <c r="AH291" s="1634">
        <v>0</v>
      </c>
    </row>
    <row s="1638" customFormat="1" customHeight="1" ht="18.75" hidden="1">
      <c r="A292" s="1782"/>
      <c r="B292" s="1782"/>
      <c r="C292" s="372" t="s">
        <v>1207</v>
      </c>
      <c r="D292" s="2484"/>
      <c r="E292" s="2226"/>
      <c r="F292" s="2405"/>
      <c r="G292" s="2449"/>
      <c r="H292" s="1503"/>
      <c r="I292" s="654" t="s">
        <v>1206</v>
      </c>
      <c r="J292" s="574"/>
      <c r="K292" s="1503"/>
      <c r="L292" s="217"/>
      <c r="M292" s="344"/>
      <c r="N292" s="337"/>
      <c r="O292" s="1627"/>
      <c r="P292" s="1627"/>
      <c r="AH292" s="1634">
        <v>0</v>
      </c>
    </row>
    <row s="1638" customFormat="1" customHeight="1" ht="0.75" hidden="1">
      <c r="A293" s="1782"/>
      <c r="B293" s="1782"/>
      <c r="C293" s="372" t="s">
        <v>1214</v>
      </c>
      <c r="D293" s="2484"/>
      <c r="E293" s="2226"/>
      <c r="F293" s="2405"/>
      <c r="G293" s="403"/>
      <c r="H293" s="1503"/>
      <c r="I293" s="654"/>
      <c r="J293" s="574"/>
      <c r="K293" s="1503"/>
      <c r="L293" s="217"/>
      <c r="M293" s="344"/>
      <c r="N293" s="337"/>
      <c r="O293" s="1627"/>
      <c r="P293" s="1627"/>
      <c r="AH293" s="1634">
        <v>0</v>
      </c>
    </row>
    <row s="1638" customFormat="1" customHeight="1" ht="18.75" hidden="1">
      <c r="A294" s="1782" t="s">
        <v>206</v>
      </c>
      <c r="B294" s="1782" t="s">
        <v>207</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307</v>
      </c>
      <c r="M294" s="344"/>
      <c r="N294" s="337"/>
      <c r="O294" s="1627"/>
      <c r="P294" s="1627"/>
      <c r="AH294" s="1634">
        <v>0</v>
      </c>
    </row>
    <row s="1638" customFormat="1" customHeight="1" ht="18.75" hidden="1">
      <c r="A295" s="1782"/>
      <c r="B295" s="1782"/>
      <c r="C295" s="372" t="s">
        <v>1207</v>
      </c>
      <c r="D295" s="2484"/>
      <c r="E295" s="2226"/>
      <c r="F295" s="2405"/>
      <c r="G295" s="2449"/>
      <c r="H295" s="1503"/>
      <c r="I295" s="654" t="s">
        <v>1206</v>
      </c>
      <c r="J295" s="574"/>
      <c r="K295" s="1503"/>
      <c r="L295" s="217"/>
      <c r="M295" s="344"/>
      <c r="N295" s="337"/>
      <c r="O295" s="1627"/>
      <c r="P295" s="1627"/>
      <c r="AH295" s="1634">
        <v>0</v>
      </c>
    </row>
    <row s="1638" customFormat="1" customHeight="1" ht="0.75" hidden="1">
      <c r="A296" s="1782"/>
      <c r="B296" s="1782"/>
      <c r="C296" s="372" t="s">
        <v>1214</v>
      </c>
      <c r="D296" s="2484"/>
      <c r="E296" s="2226"/>
      <c r="F296" s="2405"/>
      <c r="G296" s="403"/>
      <c r="H296" s="1503"/>
      <c r="I296" s="654"/>
      <c r="J296" s="574"/>
      <c r="K296" s="1503"/>
      <c r="L296" s="217"/>
      <c r="M296" s="344"/>
      <c r="N296" s="337"/>
      <c r="O296" s="1627"/>
      <c r="P296" s="1627"/>
      <c r="AH296" s="1634">
        <v>0</v>
      </c>
    </row>
    <row s="1638" customFormat="1" customHeight="1" ht="18.75" hidden="1">
      <c r="A297" s="1782" t="s">
        <v>226</v>
      </c>
      <c r="B297" s="1782" t="s">
        <v>227</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307</v>
      </c>
      <c r="M297" s="344"/>
      <c r="N297" s="337"/>
      <c r="O297" s="1627"/>
      <c r="P297" s="1627"/>
      <c r="AH297" s="1634">
        <v>0</v>
      </c>
    </row>
    <row s="1638" customFormat="1" customHeight="1" ht="18.75" hidden="1">
      <c r="A298" s="1782"/>
      <c r="B298" s="1782"/>
      <c r="C298" s="372" t="s">
        <v>1207</v>
      </c>
      <c r="D298" s="2484"/>
      <c r="E298" s="2226"/>
      <c r="F298" s="2405"/>
      <c r="G298" s="2449"/>
      <c r="H298" s="1503"/>
      <c r="I298" s="654" t="s">
        <v>1206</v>
      </c>
      <c r="J298" s="574"/>
      <c r="K298" s="1503"/>
      <c r="L298" s="217"/>
      <c r="M298" s="344"/>
      <c r="N298" s="337"/>
      <c r="O298" s="1627"/>
      <c r="P298" s="1627"/>
      <c r="AH298" s="1634">
        <v>0</v>
      </c>
    </row>
    <row s="1638" customFormat="1" customHeight="1" ht="0.75" hidden="1">
      <c r="A299" s="1782"/>
      <c r="B299" s="1782"/>
      <c r="C299" s="372" t="s">
        <v>1214</v>
      </c>
      <c r="D299" s="2484"/>
      <c r="E299" s="2226"/>
      <c r="F299" s="2405"/>
      <c r="G299" s="403"/>
      <c r="H299" s="1503"/>
      <c r="I299" s="654"/>
      <c r="J299" s="574"/>
      <c r="K299" s="1503"/>
      <c r="L299" s="217"/>
      <c r="M299" s="344"/>
      <c r="N299" s="337"/>
      <c r="O299" s="1627"/>
      <c r="P299" s="1627"/>
      <c r="AH299" s="1634">
        <v>0</v>
      </c>
    </row>
    <row s="1638" customFormat="1" customHeight="1" ht="18.75" hidden="1">
      <c r="A300" s="1782" t="s">
        <v>231</v>
      </c>
      <c r="B300" s="1782" t="s">
        <v>232</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307</v>
      </c>
      <c r="M300" s="344"/>
      <c r="N300" s="337"/>
      <c r="O300" s="1627"/>
      <c r="P300" s="1627"/>
      <c r="AH300" s="1634">
        <v>0</v>
      </c>
    </row>
    <row s="1638" customFormat="1" customHeight="1" ht="18.75" hidden="1">
      <c r="A301" s="1782"/>
      <c r="B301" s="1782"/>
      <c r="C301" s="372" t="s">
        <v>1207</v>
      </c>
      <c r="D301" s="2484"/>
      <c r="E301" s="2226"/>
      <c r="F301" s="2405"/>
      <c r="G301" s="2449"/>
      <c r="H301" s="1503"/>
      <c r="I301" s="654" t="s">
        <v>1206</v>
      </c>
      <c r="J301" s="574"/>
      <c r="K301" s="1503"/>
      <c r="L301" s="217"/>
      <c r="M301" s="344"/>
      <c r="N301" s="337"/>
      <c r="O301" s="1627"/>
      <c r="P301" s="1627"/>
      <c r="AH301" s="1634">
        <v>0</v>
      </c>
    </row>
    <row s="1638" customFormat="1" customHeight="1" ht="0.75" hidden="1">
      <c r="A302" s="1782"/>
      <c r="B302" s="1782"/>
      <c r="C302" s="372" t="s">
        <v>1214</v>
      </c>
      <c r="D302" s="2484"/>
      <c r="E302" s="2226"/>
      <c r="F302" s="2405"/>
      <c r="G302" s="403"/>
      <c r="H302" s="1503"/>
      <c r="I302" s="654"/>
      <c r="J302" s="574"/>
      <c r="K302" s="1503"/>
      <c r="L302" s="217"/>
      <c r="M302" s="344"/>
      <c r="N302" s="337"/>
      <c r="O302" s="1627"/>
      <c r="P302" s="1627"/>
      <c r="AH302" s="1634">
        <v>0</v>
      </c>
    </row>
    <row s="1638" customFormat="1" customHeight="1" ht="18.75" hidden="1">
      <c r="A303" s="1782" t="s">
        <v>236</v>
      </c>
      <c r="B303" s="1782" t="s">
        <v>237</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307</v>
      </c>
      <c r="M303" s="344"/>
      <c r="N303" s="337"/>
      <c r="O303" s="1627"/>
      <c r="P303" s="1627"/>
      <c r="AH303" s="1634">
        <v>0</v>
      </c>
    </row>
    <row s="1638" customFormat="1" customHeight="1" ht="18.75" hidden="1">
      <c r="A304" s="1782"/>
      <c r="B304" s="1782"/>
      <c r="C304" s="372" t="s">
        <v>1207</v>
      </c>
      <c r="D304" s="2484"/>
      <c r="E304" s="2226"/>
      <c r="F304" s="2405"/>
      <c r="G304" s="2449"/>
      <c r="H304" s="1503"/>
      <c r="I304" s="654" t="s">
        <v>1206</v>
      </c>
      <c r="J304" s="574"/>
      <c r="K304" s="1503"/>
      <c r="L304" s="217"/>
      <c r="M304" s="344"/>
      <c r="N304" s="337"/>
      <c r="O304" s="1627"/>
      <c r="P304" s="1627"/>
      <c r="AH304" s="1634">
        <v>0</v>
      </c>
    </row>
    <row s="1638" customFormat="1" customHeight="1" ht="0.75" hidden="1">
      <c r="A305" s="1782"/>
      <c r="B305" s="1782"/>
      <c r="C305" s="372" t="s">
        <v>1214</v>
      </c>
      <c r="D305" s="2484"/>
      <c r="E305" s="2226"/>
      <c r="F305" s="2405"/>
      <c r="G305" s="403"/>
      <c r="H305" s="1503"/>
      <c r="I305" s="654"/>
      <c r="J305" s="574"/>
      <c r="K305" s="1503"/>
      <c r="L305" s="217"/>
      <c r="M305" s="344"/>
      <c r="N305" s="337"/>
      <c r="O305" s="1627"/>
      <c r="P305" s="1627"/>
      <c r="AH305" s="1634">
        <v>0</v>
      </c>
    </row>
    <row s="1638" customFormat="1" customHeight="1" ht="18.75" hidden="1">
      <c r="A306" s="1782" t="s">
        <v>241</v>
      </c>
      <c r="B306" s="1782" t="s">
        <v>242</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307</v>
      </c>
      <c r="M306" s="344"/>
      <c r="N306" s="337"/>
      <c r="O306" s="1627"/>
      <c r="P306" s="1627"/>
      <c r="AH306" s="1634">
        <v>0</v>
      </c>
    </row>
    <row s="1638" customFormat="1" customHeight="1" ht="18.75" hidden="1">
      <c r="A307" s="1782"/>
      <c r="B307" s="1782"/>
      <c r="C307" s="372" t="s">
        <v>1207</v>
      </c>
      <c r="D307" s="2484"/>
      <c r="E307" s="2226"/>
      <c r="F307" s="2405"/>
      <c r="G307" s="2449"/>
      <c r="H307" s="1503"/>
      <c r="I307" s="654" t="s">
        <v>1206</v>
      </c>
      <c r="J307" s="574"/>
      <c r="K307" s="1503"/>
      <c r="L307" s="217"/>
      <c r="M307" s="344"/>
      <c r="N307" s="337"/>
      <c r="O307" s="1627"/>
      <c r="P307" s="1627"/>
      <c r="AH307" s="1634">
        <v>0</v>
      </c>
    </row>
    <row s="1638" customFormat="1" customHeight="1" ht="0.75" hidden="1">
      <c r="A308" s="1782"/>
      <c r="B308" s="1782"/>
      <c r="C308" s="372" t="s">
        <v>1214</v>
      </c>
      <c r="D308" s="2484"/>
      <c r="E308" s="2226"/>
      <c r="F308" s="2405"/>
      <c r="G308" s="403"/>
      <c r="H308" s="1503"/>
      <c r="I308" s="654"/>
      <c r="J308" s="574"/>
      <c r="K308" s="1503"/>
      <c r="L308" s="217"/>
      <c r="M308" s="344"/>
      <c r="N308" s="337"/>
      <c r="O308" s="1627"/>
      <c r="P308" s="1627"/>
      <c r="AH308" s="1634">
        <v>0</v>
      </c>
    </row>
    <row s="1638" customFormat="1" customHeight="1" ht="18.75" hidden="1">
      <c r="A309" s="1782" t="s">
        <v>246</v>
      </c>
      <c r="B309" s="1782" t="s">
        <v>247</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307</v>
      </c>
      <c r="M309" s="344"/>
      <c r="N309" s="337"/>
      <c r="O309" s="1627"/>
      <c r="P309" s="1627"/>
      <c r="AH309" s="1634">
        <v>0</v>
      </c>
    </row>
    <row s="1638" customFormat="1" customHeight="1" ht="18.75" hidden="1">
      <c r="A310" s="1782"/>
      <c r="B310" s="1782"/>
      <c r="C310" s="372" t="s">
        <v>1207</v>
      </c>
      <c r="D310" s="2484"/>
      <c r="E310" s="2226"/>
      <c r="F310" s="2405"/>
      <c r="G310" s="2449"/>
      <c r="H310" s="1503"/>
      <c r="I310" s="654" t="s">
        <v>1206</v>
      </c>
      <c r="J310" s="574"/>
      <c r="K310" s="1503"/>
      <c r="L310" s="217"/>
      <c r="M310" s="344"/>
      <c r="N310" s="337"/>
      <c r="O310" s="1627"/>
      <c r="P310" s="1627"/>
      <c r="AH310" s="1634">
        <v>0</v>
      </c>
    </row>
    <row s="1638" customFormat="1" customHeight="1" ht="0.75" hidden="1">
      <c r="A311" s="1782"/>
      <c r="B311" s="1782"/>
      <c r="C311" s="372" t="s">
        <v>1214</v>
      </c>
      <c r="D311" s="2484"/>
      <c r="E311" s="2226"/>
      <c r="F311" s="2405"/>
      <c r="G311" s="403"/>
      <c r="H311" s="1503"/>
      <c r="I311" s="654"/>
      <c r="J311" s="574"/>
      <c r="K311" s="1503"/>
      <c r="L311" s="217"/>
      <c r="M311" s="344"/>
      <c r="N311" s="337"/>
      <c r="O311" s="1627"/>
      <c r="P311" s="1627"/>
      <c r="AH311" s="1634">
        <v>0</v>
      </c>
    </row>
    <row s="1638" customFormat="1" customHeight="1" ht="18.75" hidden="1">
      <c r="A312" s="1782" t="s">
        <v>251</v>
      </c>
      <c r="B312" s="1782" t="s">
        <v>252</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307</v>
      </c>
      <c r="M312" s="344"/>
      <c r="N312" s="337"/>
      <c r="O312" s="1627"/>
      <c r="P312" s="1627"/>
      <c r="AH312" s="1634">
        <v>0</v>
      </c>
    </row>
    <row s="1638" customFormat="1" customHeight="1" ht="18.75" hidden="1">
      <c r="A313" s="1782"/>
      <c r="B313" s="1782"/>
      <c r="C313" s="372" t="s">
        <v>1207</v>
      </c>
      <c r="D313" s="2484"/>
      <c r="E313" s="2226"/>
      <c r="F313" s="2405"/>
      <c r="G313" s="2449"/>
      <c r="H313" s="1503"/>
      <c r="I313" s="654" t="s">
        <v>1206</v>
      </c>
      <c r="J313" s="574"/>
      <c r="K313" s="1503"/>
      <c r="L313" s="217"/>
      <c r="M313" s="344"/>
      <c r="N313" s="337"/>
      <c r="O313" s="1627"/>
      <c r="P313" s="1627"/>
      <c r="AH313" s="1634">
        <v>0</v>
      </c>
    </row>
    <row s="1638" customFormat="1" customHeight="1" ht="0.75" hidden="1">
      <c r="A314" s="1782"/>
      <c r="B314" s="1782"/>
      <c r="C314" s="372" t="s">
        <v>1214</v>
      </c>
      <c r="D314" s="2484"/>
      <c r="E314" s="2226"/>
      <c r="F314" s="2405"/>
      <c r="G314" s="403"/>
      <c r="H314" s="1503"/>
      <c r="I314" s="654"/>
      <c r="J314" s="574"/>
      <c r="K314" s="1503"/>
      <c r="L314" s="217"/>
      <c r="M314" s="344"/>
      <c r="N314" s="337"/>
      <c r="O314" s="1627"/>
      <c r="P314" s="1627"/>
      <c r="AH314" s="1634">
        <v>0</v>
      </c>
    </row>
    <row s="1638" customFormat="1" customHeight="1" ht="18.75" hidden="1">
      <c r="A315" s="1782" t="s">
        <v>256</v>
      </c>
      <c r="B315" s="1782" t="s">
        <v>257</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307</v>
      </c>
      <c r="M315" s="344"/>
      <c r="N315" s="337"/>
      <c r="O315" s="1627"/>
      <c r="P315" s="1627"/>
      <c r="AH315" s="1634">
        <v>0</v>
      </c>
    </row>
    <row s="1638" customFormat="1" customHeight="1" ht="18.75" hidden="1">
      <c r="A316" s="1782"/>
      <c r="B316" s="1782"/>
      <c r="C316" s="372" t="s">
        <v>1207</v>
      </c>
      <c r="D316" s="2484"/>
      <c r="E316" s="2226"/>
      <c r="F316" s="2405"/>
      <c r="G316" s="2449"/>
      <c r="H316" s="1503"/>
      <c r="I316" s="654" t="s">
        <v>1206</v>
      </c>
      <c r="J316" s="574"/>
      <c r="K316" s="1503"/>
      <c r="L316" s="217"/>
      <c r="M316" s="344"/>
      <c r="N316" s="337"/>
      <c r="O316" s="1627"/>
      <c r="P316" s="1627"/>
      <c r="AH316" s="1634">
        <v>0</v>
      </c>
    </row>
    <row s="1638" customFormat="1" customHeight="1" ht="0.75" hidden="1">
      <c r="A317" s="1782"/>
      <c r="B317" s="1782"/>
      <c r="C317" s="372" t="s">
        <v>1214</v>
      </c>
      <c r="D317" s="2484"/>
      <c r="E317" s="2226"/>
      <c r="F317" s="2405"/>
      <c r="G317" s="403"/>
      <c r="H317" s="1503"/>
      <c r="I317" s="654"/>
      <c r="J317" s="574"/>
      <c r="K317" s="1503"/>
      <c r="L317" s="217"/>
      <c r="M317" s="344"/>
      <c r="N317" s="337"/>
      <c r="O317" s="1627"/>
      <c r="P317" s="1627"/>
      <c r="AH317" s="1634">
        <v>0</v>
      </c>
    </row>
    <row s="1638" customFormat="1" customHeight="1" ht="18.75" hidden="1">
      <c r="A318" s="1782" t="s">
        <v>261</v>
      </c>
      <c r="B318" s="1782" t="s">
        <v>262</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307</v>
      </c>
      <c r="M318" s="344"/>
      <c r="N318" s="337"/>
      <c r="O318" s="1627"/>
      <c r="P318" s="1627"/>
      <c r="AH318" s="1634">
        <v>0</v>
      </c>
    </row>
    <row s="1638" customFormat="1" customHeight="1" ht="18.75" hidden="1">
      <c r="A319" s="1782"/>
      <c r="B319" s="1782"/>
      <c r="C319" s="372" t="s">
        <v>1207</v>
      </c>
      <c r="D319" s="2484"/>
      <c r="E319" s="2226"/>
      <c r="F319" s="2405"/>
      <c r="G319" s="2449"/>
      <c r="H319" s="1503"/>
      <c r="I319" s="654" t="s">
        <v>1206</v>
      </c>
      <c r="J319" s="574"/>
      <c r="K319" s="1503"/>
      <c r="L319" s="217"/>
      <c r="M319" s="344"/>
      <c r="N319" s="337"/>
      <c r="O319" s="1627"/>
      <c r="P319" s="1627"/>
      <c r="AH319" s="1634">
        <v>0</v>
      </c>
    </row>
    <row s="1638" customFormat="1" customHeight="1" ht="0.75" hidden="1">
      <c r="A320" s="1782"/>
      <c r="B320" s="1782"/>
      <c r="C320" s="372" t="s">
        <v>1214</v>
      </c>
      <c r="D320" s="2484"/>
      <c r="E320" s="2226"/>
      <c r="F320" s="2405"/>
      <c r="G320" s="403"/>
      <c r="H320" s="1503"/>
      <c r="I320" s="654"/>
      <c r="J320" s="574"/>
      <c r="K320" s="1503"/>
      <c r="L320" s="217"/>
      <c r="M320" s="344"/>
      <c r="N320" s="337"/>
      <c r="O320" s="1627"/>
      <c r="P320" s="1627"/>
      <c r="AH320" s="1634">
        <v>0</v>
      </c>
    </row>
    <row s="1638" customFormat="1" customHeight="1" ht="18.75" hidden="1">
      <c r="A321" s="1782" t="s">
        <v>266</v>
      </c>
      <c r="B321" s="1782" t="s">
        <v>267</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307</v>
      </c>
      <c r="M321" s="344"/>
      <c r="N321" s="337"/>
      <c r="O321" s="1627"/>
      <c r="P321" s="1627"/>
      <c r="AH321" s="1634">
        <v>0</v>
      </c>
    </row>
    <row s="1638" customFormat="1" customHeight="1" ht="18.75" hidden="1">
      <c r="A322" s="1782"/>
      <c r="B322" s="1782"/>
      <c r="C322" s="372" t="s">
        <v>1207</v>
      </c>
      <c r="D322" s="2484"/>
      <c r="E322" s="2226"/>
      <c r="F322" s="2405"/>
      <c r="G322" s="2449"/>
      <c r="H322" s="1503"/>
      <c r="I322" s="654" t="s">
        <v>1206</v>
      </c>
      <c r="J322" s="574"/>
      <c r="K322" s="1503"/>
      <c r="L322" s="217"/>
      <c r="M322" s="344"/>
      <c r="N322" s="337"/>
      <c r="O322" s="1627"/>
      <c r="P322" s="1627"/>
      <c r="AH322" s="1634">
        <v>0</v>
      </c>
    </row>
    <row s="1638" customFormat="1" customHeight="1" ht="0.75" hidden="1">
      <c r="A323" s="1782"/>
      <c r="B323" s="1782"/>
      <c r="C323" s="372" t="s">
        <v>1214</v>
      </c>
      <c r="D323" s="2484"/>
      <c r="E323" s="2226"/>
      <c r="F323" s="2405"/>
      <c r="G323" s="403"/>
      <c r="H323" s="1503"/>
      <c r="I323" s="654"/>
      <c r="J323" s="574"/>
      <c r="K323" s="1503"/>
      <c r="L323" s="217"/>
      <c r="M323" s="344"/>
      <c r="N323" s="337"/>
      <c r="O323" s="1627"/>
      <c r="P323" s="1627"/>
      <c r="AH323" s="1634">
        <v>0</v>
      </c>
    </row>
    <row s="1638" customFormat="1" customHeight="1" ht="18.75" hidden="1">
      <c r="A324" s="1782" t="s">
        <v>271</v>
      </c>
      <c r="B324" s="1782" t="s">
        <v>272</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307</v>
      </c>
      <c r="M324" s="344"/>
      <c r="N324" s="337"/>
      <c r="O324" s="1627"/>
      <c r="P324" s="1627"/>
      <c r="AH324" s="1634">
        <v>0</v>
      </c>
    </row>
    <row s="1638" customFormat="1" customHeight="1" ht="18.75" hidden="1">
      <c r="A325" s="1782"/>
      <c r="B325" s="1782"/>
      <c r="C325" s="372" t="s">
        <v>1207</v>
      </c>
      <c r="D325" s="2484"/>
      <c r="E325" s="2226"/>
      <c r="F325" s="2405"/>
      <c r="G325" s="2449"/>
      <c r="H325" s="1503"/>
      <c r="I325" s="654" t="s">
        <v>1206</v>
      </c>
      <c r="J325" s="574"/>
      <c r="K325" s="1503"/>
      <c r="L325" s="217"/>
      <c r="M325" s="344"/>
      <c r="N325" s="337"/>
      <c r="O325" s="1627"/>
      <c r="P325" s="1627"/>
      <c r="AH325" s="1634">
        <v>0</v>
      </c>
    </row>
    <row s="1638" customFormat="1" customHeight="1" ht="0.75" hidden="1">
      <c r="A326" s="1782"/>
      <c r="B326" s="1782"/>
      <c r="C326" s="372" t="s">
        <v>1214</v>
      </c>
      <c r="D326" s="2484"/>
      <c r="E326" s="2226"/>
      <c r="F326" s="2405"/>
      <c r="G326" s="403"/>
      <c r="H326" s="1503"/>
      <c r="I326" s="654"/>
      <c r="J326" s="574"/>
      <c r="K326" s="1503"/>
      <c r="L326" s="217"/>
      <c r="M326" s="344"/>
      <c r="N326" s="337"/>
      <c r="O326" s="1627"/>
      <c r="P326" s="1627"/>
      <c r="AH326" s="1634">
        <v>0</v>
      </c>
    </row>
    <row s="1638" customFormat="1" customHeight="1" ht="18.75" hidden="1">
      <c r="A327" s="1782" t="s">
        <v>276</v>
      </c>
      <c r="B327" s="1782" t="s">
        <v>277</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307</v>
      </c>
      <c r="M327" s="344"/>
      <c r="N327" s="337"/>
      <c r="O327" s="1627"/>
      <c r="P327" s="1627"/>
      <c r="AH327" s="1634">
        <v>0</v>
      </c>
    </row>
    <row s="1638" customFormat="1" customHeight="1" ht="18.75" hidden="1">
      <c r="A328" s="1782"/>
      <c r="B328" s="1782"/>
      <c r="C328" s="372" t="s">
        <v>1207</v>
      </c>
      <c r="D328" s="2484"/>
      <c r="E328" s="2226"/>
      <c r="F328" s="2405"/>
      <c r="G328" s="2449"/>
      <c r="H328" s="1503"/>
      <c r="I328" s="654" t="s">
        <v>1206</v>
      </c>
      <c r="J328" s="574"/>
      <c r="K328" s="1503"/>
      <c r="L328" s="217"/>
      <c r="M328" s="344"/>
      <c r="N328" s="337"/>
      <c r="O328" s="1627"/>
      <c r="P328" s="1627"/>
      <c r="AH328" s="1634">
        <v>0</v>
      </c>
    </row>
    <row s="1638" customFormat="1" customHeight="1" ht="1.05">
      <c r="A329" s="1782"/>
      <c r="B329" s="1782"/>
      <c r="C329" s="372" t="s">
        <v>1214</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82</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C4F24-0FDF-27A2-5007-0.905499A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121</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7"/>
      <c r="F5" s="2477"/>
      <c r="G5" s="2478"/>
      <c r="H5" s="269"/>
      <c r="R5" s="377">
        <v>33</v>
      </c>
    </row>
    <row s="1638" customFormat="1" customHeight="1" ht="18">
      <c r="A6" s="1671"/>
      <c r="B6" s="1163"/>
      <c r="C6" s="379"/>
      <c r="D6" s="2479" t="str">
        <f>IF(org=0,"Не определено",org)</f>
        <v>АО "Водоканал"</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301</v>
      </c>
      <c r="E8" s="2231"/>
      <c r="F8" s="2231"/>
      <c r="G8" s="2231"/>
      <c r="H8" s="2411" t="s">
        <v>302</v>
      </c>
      <c r="R8" s="377">
        <v>14</v>
      </c>
    </row>
    <row customHeight="1" ht="24">
      <c r="C9" s="379"/>
      <c r="D9" s="389" t="s">
        <v>88</v>
      </c>
      <c r="E9" s="111" t="s">
        <v>303</v>
      </c>
      <c r="F9" s="111" t="s">
        <v>304</v>
      </c>
      <c r="G9" s="111" t="s">
        <v>391</v>
      </c>
      <c r="H9" s="2411"/>
      <c r="R9" s="377">
        <v>23</v>
      </c>
    </row>
    <row customHeight="1" ht="14.699999999999998">
      <c r="A10" s="346"/>
      <c r="C10" s="379"/>
      <c r="D10" s="150" t="s">
        <v>99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91" t="s">
        <v>1215</v>
      </c>
      <c r="R10" s="377">
        <v>14</v>
      </c>
    </row>
    <row customHeight="1" ht="14.699999999999998">
      <c r="A11" s="346"/>
      <c r="C11" s="379"/>
      <c r="D11" s="150"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92"/>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92"/>
      <c r="I13" s="353"/>
      <c r="K13" s="377"/>
      <c r="R13" s="377">
        <v>14</v>
      </c>
    </row>
    <row customHeight="1" ht="14.699999999999998">
      <c r="A14" s="346"/>
      <c r="C14" s="379"/>
      <c r="D14" s="350"/>
      <c r="E14" s="398" t="s">
        <v>323</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BDB0C-FBFE-D614-5309-0.772A656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АО "Водоканал"</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88</v>
      </c>
      <c r="E9" s="2123" t="s">
        <v>125</v>
      </c>
      <c r="F9" s="2125"/>
      <c r="G9" s="2149" t="s">
        <v>105</v>
      </c>
      <c r="H9" s="2149" t="s">
        <v>88</v>
      </c>
      <c r="I9" s="2149"/>
      <c r="J9" s="2149" t="s">
        <v>126</v>
      </c>
      <c r="K9" s="2177" t="s">
        <v>127</v>
      </c>
      <c r="L9" s="2177"/>
      <c r="M9" s="2177"/>
      <c r="N9" s="2177"/>
      <c r="O9" s="2177" t="s">
        <v>128</v>
      </c>
      <c r="P9" s="2177"/>
      <c r="Q9" s="2177"/>
      <c r="R9" s="2177"/>
      <c r="S9" s="2177" t="s">
        <v>129</v>
      </c>
      <c r="T9" s="2177"/>
      <c r="U9" s="2177"/>
      <c r="V9" s="2177"/>
      <c r="W9" s="2149" t="s">
        <v>130</v>
      </c>
      <c r="AR9" s="107">
        <v>27</v>
      </c>
    </row>
    <row customHeight="1" ht="31.5">
      <c r="D10" s="2149"/>
      <c r="E10" s="1287" t="s">
        <v>89</v>
      </c>
      <c r="F10" s="1287" t="s">
        <v>131</v>
      </c>
      <c r="G10" s="2149"/>
      <c r="H10" s="2149"/>
      <c r="I10" s="2149"/>
      <c r="J10" s="2149"/>
      <c r="K10" s="113" t="s">
        <v>108</v>
      </c>
      <c r="L10" s="2149" t="s">
        <v>88</v>
      </c>
      <c r="M10" s="2149"/>
      <c r="N10" s="113" t="s">
        <v>132</v>
      </c>
      <c r="O10" s="113" t="s">
        <v>108</v>
      </c>
      <c r="P10" s="2149" t="s">
        <v>88</v>
      </c>
      <c r="Q10" s="2149"/>
      <c r="R10" s="113" t="s">
        <v>132</v>
      </c>
      <c r="S10" s="286" t="s">
        <v>108</v>
      </c>
      <c r="T10" s="2149" t="s">
        <v>88</v>
      </c>
      <c r="U10" s="2149"/>
      <c r="V10" s="286" t="s">
        <v>89</v>
      </c>
      <c r="W10" s="2149"/>
      <c r="Z10" s="1262" t="s">
        <v>133</v>
      </c>
      <c r="AA10" s="1262" t="s">
        <v>134</v>
      </c>
      <c r="AB10" s="1262" t="s">
        <v>135</v>
      </c>
      <c r="AC10" s="1262" t="s">
        <v>136</v>
      </c>
      <c r="AD10" s="1262" t="s">
        <v>137</v>
      </c>
      <c r="AE10" s="1262" t="s">
        <v>138</v>
      </c>
      <c r="AF10" s="1262" t="s">
        <v>139</v>
      </c>
      <c r="AG10" s="1262" t="s">
        <v>140</v>
      </c>
      <c r="AH10" s="1262" t="s">
        <v>141</v>
      </c>
      <c r="AI10" s="1262" t="s">
        <v>142</v>
      </c>
      <c r="AJ10" s="1262" t="s">
        <v>143</v>
      </c>
      <c r="AK10" s="1262" t="s">
        <v>144</v>
      </c>
      <c r="AL10" s="1262" t="s">
        <v>145</v>
      </c>
      <c r="AM10" s="1262" t="s">
        <v>146</v>
      </c>
      <c r="AN10" s="1262" t="s">
        <v>147</v>
      </c>
      <c r="AO10" s="1262" t="s">
        <v>148</v>
      </c>
      <c r="AP10" s="1262" t="s">
        <v>149</v>
      </c>
      <c r="AQ10" s="1262" t="s">
        <v>150</v>
      </c>
      <c r="AR10" s="107">
        <v>30</v>
      </c>
    </row>
    <row s="1627" customFormat="1" customHeight="1" ht="12">
      <c r="D11" s="1252" t="s">
        <v>99</v>
      </c>
      <c r="E11" s="1252" t="s">
        <v>109</v>
      </c>
      <c r="F11" s="1252"/>
      <c r="G11" s="1252" t="s">
        <v>90</v>
      </c>
      <c r="H11" s="2178" t="s">
        <v>110</v>
      </c>
      <c r="I11" s="2178"/>
      <c r="J11" s="1252" t="s">
        <v>92</v>
      </c>
      <c r="K11" s="1252" t="s">
        <v>93</v>
      </c>
      <c r="L11" s="2178" t="s">
        <v>111</v>
      </c>
      <c r="M11" s="2178"/>
      <c r="N11" s="1252" t="s">
        <v>151</v>
      </c>
      <c r="O11" s="1252" t="s">
        <v>152</v>
      </c>
      <c r="P11" s="2178" t="s">
        <v>153</v>
      </c>
      <c r="Q11" s="2178"/>
      <c r="R11" s="1252" t="s">
        <v>154</v>
      </c>
      <c r="S11" s="1252" t="s">
        <v>153</v>
      </c>
      <c r="T11" s="2178" t="s">
        <v>154</v>
      </c>
      <c r="U11" s="2178"/>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157</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158</v>
      </c>
      <c r="AD13" s="1270" t="s">
        <v>159</v>
      </c>
      <c r="AE13" s="1270" t="s">
        <v>160</v>
      </c>
      <c r="AF13" s="1270" t="s">
        <v>161</v>
      </c>
      <c r="AG13" s="1270" t="s">
        <v>162</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163</v>
      </c>
      <c r="AD18" s="1270" t="s">
        <v>164</v>
      </c>
      <c r="AE18" s="1270" t="s">
        <v>165</v>
      </c>
      <c r="AF18" s="1270" t="s">
        <v>166</v>
      </c>
      <c r="AG18" s="1270" t="s">
        <v>167</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168</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163</v>
      </c>
      <c r="AD23" s="1270" t="s">
        <v>164</v>
      </c>
      <c r="AE23" s="1270" t="s">
        <v>165</v>
      </c>
      <c r="AF23" s="1270" t="s">
        <v>166</v>
      </c>
      <c r="AG23" s="1270" t="s">
        <v>167</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169</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170</v>
      </c>
      <c r="AD28" s="1270" t="s">
        <v>171</v>
      </c>
      <c r="AE28" s="1270" t="s">
        <v>172</v>
      </c>
      <c r="AF28" s="1270" t="s">
        <v>173</v>
      </c>
      <c r="AG28" s="1270" t="s">
        <v>174</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175</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176</v>
      </c>
      <c r="AD33" s="1270" t="s">
        <v>177</v>
      </c>
      <c r="AE33" s="1270" t="s">
        <v>178</v>
      </c>
      <c r="AF33" s="1270" t="s">
        <v>179</v>
      </c>
      <c r="AG33" s="1270" t="s">
        <v>180</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181</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182</v>
      </c>
      <c r="AD38" s="1270" t="s">
        <v>183</v>
      </c>
      <c r="AE38" s="1270" t="s">
        <v>184</v>
      </c>
      <c r="AF38" s="1270" t="s">
        <v>185</v>
      </c>
      <c r="AG38" s="1270" t="s">
        <v>186</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187</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188</v>
      </c>
      <c r="AD43" s="1270" t="s">
        <v>189</v>
      </c>
      <c r="AE43" s="1270" t="s">
        <v>190</v>
      </c>
      <c r="AF43" s="1270" t="s">
        <v>191</v>
      </c>
      <c r="AG43" s="1270" t="s">
        <v>192</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193</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194</v>
      </c>
      <c r="AD48" s="1270" t="s">
        <v>195</v>
      </c>
      <c r="AE48" s="1270" t="s">
        <v>196</v>
      </c>
      <c r="AF48" s="1270" t="s">
        <v>197</v>
      </c>
      <c r="AG48" s="1270" t="s">
        <v>198</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199</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200</v>
      </c>
      <c r="AD53" s="1270" t="s">
        <v>201</v>
      </c>
      <c r="AE53" s="1270" t="s">
        <v>202</v>
      </c>
      <c r="AF53" s="1270" t="s">
        <v>203</v>
      </c>
      <c r="AG53" s="1270" t="s">
        <v>204</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205</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206</v>
      </c>
      <c r="AD58" s="1270" t="s">
        <v>207</v>
      </c>
      <c r="AE58" s="1270" t="s">
        <v>208</v>
      </c>
      <c r="AF58" s="1270" t="s">
        <v>209</v>
      </c>
      <c r="AG58" s="1270" t="s">
        <v>210</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211</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212</v>
      </c>
      <c r="AD63" s="1270" t="s">
        <v>213</v>
      </c>
      <c r="AE63" s="1270" t="s">
        <v>214</v>
      </c>
      <c r="AF63" s="1270" t="s">
        <v>215</v>
      </c>
      <c r="AG63" s="1270" t="s">
        <v>216</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217</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218</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219</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220</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221</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222</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223</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224</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225</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226</v>
      </c>
      <c r="AD79" s="1270" t="s">
        <v>227</v>
      </c>
      <c r="AE79" s="1270" t="s">
        <v>228</v>
      </c>
      <c r="AF79" s="1270" t="s">
        <v>229</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230</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231</v>
      </c>
      <c r="AD84" s="1270" t="s">
        <v>232</v>
      </c>
      <c r="AE84" s="1270" t="s">
        <v>233</v>
      </c>
      <c r="AF84" s="1270" t="s">
        <v>234</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235</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236</v>
      </c>
      <c r="AD89" s="1270" t="s">
        <v>237</v>
      </c>
      <c r="AE89" s="1270" t="s">
        <v>238</v>
      </c>
      <c r="AF89" s="1270" t="s">
        <v>239</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240</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241</v>
      </c>
      <c r="AD94" s="1270" t="s">
        <v>242</v>
      </c>
      <c r="AE94" s="1270" t="s">
        <v>243</v>
      </c>
      <c r="AF94" s="1270" t="s">
        <v>244</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245</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246</v>
      </c>
      <c r="AD99" s="1270" t="s">
        <v>247</v>
      </c>
      <c r="AE99" s="1270" t="s">
        <v>248</v>
      </c>
      <c r="AF99" s="1270" t="s">
        <v>249</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250</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251</v>
      </c>
      <c r="AD105" s="1270" t="s">
        <v>252</v>
      </c>
      <c r="AE105" s="1270" t="s">
        <v>253</v>
      </c>
      <c r="AF105" s="1270" t="s">
        <v>254</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255</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256</v>
      </c>
      <c r="AD110" s="1270" t="s">
        <v>257</v>
      </c>
      <c r="AE110" s="1270" t="s">
        <v>258</v>
      </c>
      <c r="AF110" s="1270" t="s">
        <v>259</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260</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261</v>
      </c>
      <c r="AD115" s="1270" t="s">
        <v>262</v>
      </c>
      <c r="AE115" s="1270" t="s">
        <v>263</v>
      </c>
      <c r="AF115" s="1270" t="s">
        <v>264</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265</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266</v>
      </c>
      <c r="AD121" s="1270" t="s">
        <v>267</v>
      </c>
      <c r="AE121" s="1270" t="s">
        <v>268</v>
      </c>
      <c r="AF121" s="1270" t="s">
        <v>269</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270</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271</v>
      </c>
      <c r="AD126" s="1270" t="s">
        <v>272</v>
      </c>
      <c r="AE126" s="1270" t="s">
        <v>273</v>
      </c>
      <c r="AF126" s="1270" t="s">
        <v>274</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275</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276</v>
      </c>
      <c r="AD131" s="1270" t="s">
        <v>277</v>
      </c>
      <c r="AE131" s="1270" t="s">
        <v>278</v>
      </c>
      <c r="AF131" s="1270" t="s">
        <v>279</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6EA72-DF55-CC43-E832-0.F1D09B89}"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59" t="s">
        <v>1216</v>
      </c>
      <c r="E5" s="2259"/>
      <c r="F5" s="2259"/>
      <c r="G5" s="2259"/>
      <c r="H5" s="2259"/>
      <c r="I5" s="2259"/>
      <c r="J5" s="2259"/>
      <c r="K5" s="2270"/>
      <c r="L5" s="2270"/>
      <c r="X5" s="508">
        <v>63</v>
      </c>
    </row>
    <row customHeight="1" ht="15.75">
      <c r="C6" s="179"/>
      <c r="D6" s="2198" t="str">
        <f>IF(org=0,"Не определено",org)</f>
        <v>АО "Водоканал"</v>
      </c>
      <c r="E6" s="2198"/>
      <c r="F6" s="2198"/>
      <c r="G6" s="2198"/>
      <c r="H6" s="2198"/>
      <c r="I6" s="2198"/>
      <c r="J6" s="2198"/>
      <c r="K6" s="2271"/>
      <c r="L6" s="2271"/>
      <c r="M6" s="540"/>
      <c r="X6" s="508">
        <v>15</v>
      </c>
    </row>
    <row customHeight="1" ht="15.75">
      <c r="C7" s="179"/>
      <c r="D7" s="755"/>
      <c r="E7" s="512"/>
      <c r="F7" s="512"/>
      <c r="G7" s="540">
        <v>22</v>
      </c>
      <c r="I7" s="540">
        <v>1</v>
      </c>
      <c r="J7" s="755"/>
      <c r="K7" s="1369" t="s">
        <v>22</v>
      </c>
      <c r="L7" s="1638"/>
      <c r="X7" s="508">
        <v>15</v>
      </c>
    </row>
    <row s="1638" customFormat="1" customHeight="1" ht="1.05">
      <c r="A8" s="762"/>
      <c r="C8" s="179"/>
      <c r="D8" s="512"/>
      <c r="E8" s="512"/>
      <c r="F8" s="512"/>
      <c r="G8" s="540"/>
      <c r="H8" s="755"/>
      <c r="I8" s="540" t="s">
        <v>116</v>
      </c>
      <c r="J8" s="755"/>
      <c r="K8" s="1369" t="s">
        <v>122</v>
      </c>
      <c r="L8" s="755"/>
      <c r="M8" s="420"/>
      <c r="W8" s="678"/>
      <c r="X8" s="761">
        <v>1</v>
      </c>
    </row>
    <row customHeight="1" ht="15.75">
      <c r="C9" s="179"/>
      <c r="D9" s="714"/>
      <c r="E9" s="2389" t="s">
        <v>105</v>
      </c>
      <c r="F9" s="2390"/>
      <c r="G9" s="2417" t="str">
        <f>IF(G8="","",INDEX(DIFFERENTIATION_UNMERGE_VD,MATCH(G8,DIFFERENTIATION_ID_DIFF,0)))</f>
        <v/>
      </c>
      <c r="H9" s="2418"/>
      <c r="I9" s="2417" t="str">
        <f>IF(I8="","",INDEX(DIFFERENTIATION_UNMERGE_VD,MATCH(I8,DIFFERENTIATION_ID_DIFF,0)))</f>
        <v>Холодное водоснабжение. Питьевая вода</v>
      </c>
      <c r="J9" s="2418"/>
      <c r="K9" s="2417" t="str">
        <f>IF(K8="","",INDEX(DIFFERENTIATION_UNMERGE_VD,MATCH(K8,DIFFERENTIATION_ID_DIFF,0)))</f>
        <v>Подключение (технологическое присоединение) к централизованной системе водоснабжения</v>
      </c>
      <c r="L9" s="2418"/>
      <c r="M9" s="2197" t="s">
        <v>302</v>
      </c>
      <c r="X9" s="508">
        <v>15</v>
      </c>
    </row>
    <row s="1638" customFormat="1" customHeight="1" ht="15.75">
      <c r="A10" s="762"/>
      <c r="C10" s="179"/>
      <c r="D10" s="714"/>
      <c r="E10" s="2389" t="s">
        <v>563</v>
      </c>
      <c r="F10" s="2390"/>
      <c r="G10" s="2417" t="str">
        <f>IF(G8="","",INDEX(DIFFERENTIATION_UNMERGE_AREA,MATCH(G8,DIFFERENTIATION_ID_DIFF,0)))</f>
        <v/>
      </c>
      <c r="H10" s="2418"/>
      <c r="I10" s="2417" t="str">
        <f>IF(I8="","",INDEX(DIFFERENTIATION_UNMERGE_AREA,MATCH(I8,DIFFERENTIATION_ID_DIFF,0)))</f>
        <v>без дифференциации</v>
      </c>
      <c r="J10" s="2418"/>
      <c r="K10" s="2417" t="str">
        <f>IF(K8="","",INDEX(DIFFERENTIATION_UNMERGE_AREA,MATCH(K8,DIFFERENTIATION_ID_DIFF,0)))</f>
        <v>без дифференциации</v>
      </c>
      <c r="L10" s="2418"/>
      <c r="M10" s="2221"/>
      <c r="W10" s="678"/>
      <c r="X10" s="761">
        <v>15</v>
      </c>
    </row>
    <row s="1638" customFormat="1" customHeight="1" ht="15.75">
      <c r="A11" s="762"/>
      <c r="C11" s="179"/>
      <c r="D11" s="714"/>
      <c r="E11" s="2389" t="s">
        <v>564</v>
      </c>
      <c r="F11" s="2390"/>
      <c r="G11" s="2417" t="str">
        <f>IF(G8="","",INDEX(DIFFERENTIATION_UNMERGE_SYSTEM,MATCH(G8,DIFFERENTIATION_ID_DIFF,0)))</f>
        <v/>
      </c>
      <c r="H11" s="2418"/>
      <c r="I11" s="2417" t="str">
        <f>IF(I8="","",INDEX(DIFFERENTIATION_UNMERGE_SYSTEM,MATCH(I8,DIFFERENTIATION_ID_DIFF,0)))</f>
        <v>без дифференциации</v>
      </c>
      <c r="J11" s="2418"/>
      <c r="K11" s="2417" t="str">
        <f>IF(K8="","",INDEX(DIFFERENTIATION_UNMERGE_SYSTEM,MATCH(K8,DIFFERENTIATION_ID_DIFF,0)))</f>
        <v>без дифференциации</v>
      </c>
      <c r="L11" s="2418"/>
      <c r="M11" s="2221"/>
      <c r="W11" s="678"/>
      <c r="X11" s="761">
        <v>15</v>
      </c>
    </row>
    <row s="1638" customFormat="1" customHeight="1" ht="15.75">
      <c r="A12" s="762"/>
      <c r="C12" s="179"/>
      <c r="D12" s="2391" t="s">
        <v>301</v>
      </c>
      <c r="E12" s="2392"/>
      <c r="F12" s="2392"/>
      <c r="G12" s="890"/>
      <c r="H12" s="890"/>
      <c r="I12" s="890"/>
      <c r="J12" s="890"/>
      <c r="K12" s="2389"/>
      <c r="L12" s="2389"/>
      <c r="M12" s="2221"/>
      <c r="W12" s="678"/>
      <c r="X12" s="761">
        <v>15</v>
      </c>
    </row>
    <row customHeight="1" ht="35.699999999999996">
      <c r="C13" s="179"/>
      <c r="D13" s="808" t="s">
        <v>88</v>
      </c>
      <c r="E13" s="810" t="s">
        <v>303</v>
      </c>
      <c r="F13" s="810" t="s">
        <v>565</v>
      </c>
      <c r="G13" s="811" t="s">
        <v>304</v>
      </c>
      <c r="H13" s="810" t="s">
        <v>391</v>
      </c>
      <c r="I13" s="811" t="s">
        <v>304</v>
      </c>
      <c r="J13" s="810" t="s">
        <v>391</v>
      </c>
      <c r="K13" s="2284" t="s">
        <v>304</v>
      </c>
      <c r="L13" s="2388" t="s">
        <v>391</v>
      </c>
      <c r="M13" s="2254"/>
      <c r="X13" s="508">
        <v>34</v>
      </c>
    </row>
    <row customHeight="1" ht="15" hidden="1">
      <c r="C14" s="179"/>
      <c r="D14" s="596" t="s">
        <v>99</v>
      </c>
      <c r="E14" s="596" t="s">
        <v>109</v>
      </c>
      <c r="F14" s="596" t="s">
        <v>90</v>
      </c>
      <c r="G14" s="662" t="str">
        <f>G1&amp;".1"</f>
        <v>4.1</v>
      </c>
      <c r="H14" s="662"/>
      <c r="I14" s="662" t="str">
        <f>I1&amp;".1"</f>
        <v>4.1</v>
      </c>
      <c r="J14" s="662"/>
      <c r="K14" s="686" t="str">
        <f>K1&amp;".1"</f>
        <v>4.1</v>
      </c>
      <c r="L14" s="686"/>
      <c r="M14" s="292"/>
      <c r="X14" s="508">
        <v>0</v>
      </c>
    </row>
    <row customHeight="1" ht="22.5" hidden="1">
      <c r="A15" s="508"/>
      <c r="C15" s="529"/>
      <c r="D15" s="524">
        <v>1</v>
      </c>
      <c r="E15" s="680" t="s">
        <v>830</v>
      </c>
      <c r="F15" s="524" t="s">
        <v>831</v>
      </c>
      <c r="G15" s="681"/>
      <c r="H15" s="681"/>
      <c r="I15" s="681"/>
      <c r="J15" s="681"/>
      <c r="K15" s="681"/>
      <c r="L15" s="681"/>
      <c r="M15" s="292" t="s">
        <v>832</v>
      </c>
      <c r="X15" s="508">
        <v>0</v>
      </c>
    </row>
    <row customHeight="1" ht="22.5" hidden="1">
      <c r="A16" s="508"/>
      <c r="C16" s="529"/>
      <c r="D16" s="524">
        <v>2</v>
      </c>
      <c r="E16" s="282" t="s">
        <v>833</v>
      </c>
      <c r="F16" s="524" t="s">
        <v>834</v>
      </c>
      <c r="G16" s="681"/>
      <c r="H16" s="681"/>
      <c r="I16" s="681"/>
      <c r="J16" s="681"/>
      <c r="K16" s="681"/>
      <c r="L16" s="681"/>
      <c r="M16" s="292" t="s">
        <v>835</v>
      </c>
      <c r="X16" s="508">
        <v>0</v>
      </c>
    </row>
    <row customHeight="1" ht="123.75" hidden="1">
      <c r="A17" s="508"/>
      <c r="C17" s="529"/>
      <c r="D17" s="524">
        <v>3</v>
      </c>
      <c r="E17" s="282" t="s">
        <v>1217</v>
      </c>
      <c r="F17" s="524" t="s">
        <v>307</v>
      </c>
      <c r="G17" s="681"/>
      <c r="H17" s="681"/>
      <c r="I17" s="681"/>
      <c r="J17" s="681"/>
      <c r="K17" s="681"/>
      <c r="L17" s="681"/>
      <c r="M17" s="292" t="s">
        <v>1218</v>
      </c>
      <c r="X17" s="508">
        <v>0</v>
      </c>
    </row>
    <row customHeight="1" ht="48.29999999999999">
      <c r="A18" s="508"/>
      <c r="C18" s="529"/>
      <c r="D18" s="524">
        <v>3</v>
      </c>
      <c r="E18" s="282" t="s">
        <v>836</v>
      </c>
      <c r="F18" s="524" t="s">
        <v>307</v>
      </c>
      <c r="G18" s="812" t="s">
        <v>307</v>
      </c>
      <c r="H18" s="813" t="s">
        <v>307</v>
      </c>
      <c r="I18" s="524" t="s">
        <v>307</v>
      </c>
      <c r="J18" s="581" t="s">
        <v>307</v>
      </c>
      <c r="K18" s="2388" t="s">
        <v>307</v>
      </c>
      <c r="L18" s="2282" t="s">
        <v>307</v>
      </c>
      <c r="M18" s="292" t="s">
        <v>1219</v>
      </c>
      <c r="X18" s="508">
        <v>46</v>
      </c>
    </row>
    <row customHeight="1" ht="35.699999999999996">
      <c r="A19" s="508"/>
      <c r="C19" s="529"/>
      <c r="D19" s="542" t="s">
        <v>325</v>
      </c>
      <c r="E19" s="562" t="s">
        <v>838</v>
      </c>
      <c r="F19" s="524" t="s">
        <v>839</v>
      </c>
      <c r="G19" s="820"/>
      <c r="H19" s="109"/>
      <c r="I19" s="820"/>
      <c r="J19" s="821"/>
      <c r="K19" s="820"/>
      <c r="L19" s="2523"/>
      <c r="M19" s="682"/>
      <c r="X19" s="508">
        <v>34</v>
      </c>
    </row>
    <row customHeight="1" ht="35.699999999999996">
      <c r="A20" s="508"/>
      <c r="C20" s="529"/>
      <c r="D20" s="1890" t="s">
        <v>333</v>
      </c>
      <c r="E20" s="562" t="s">
        <v>840</v>
      </c>
      <c r="F20" s="524" t="s">
        <v>841</v>
      </c>
      <c r="G20" s="820"/>
      <c r="H20" s="109"/>
      <c r="I20" s="820"/>
      <c r="J20" s="109"/>
      <c r="K20" s="820"/>
      <c r="L20" s="2523"/>
      <c r="M20" s="682"/>
      <c r="X20" s="508">
        <v>34</v>
      </c>
    </row>
    <row customHeight="1" ht="48.29999999999999">
      <c r="A21" s="508"/>
      <c r="C21" s="529"/>
      <c r="D21" s="1890" t="s">
        <v>335</v>
      </c>
      <c r="E21" s="562" t="s">
        <v>842</v>
      </c>
      <c r="F21" s="524" t="s">
        <v>570</v>
      </c>
      <c r="G21" s="683"/>
      <c r="H21" s="109"/>
      <c r="I21" s="683"/>
      <c r="J21" s="109"/>
      <c r="K21" s="683"/>
      <c r="L21" s="2523"/>
      <c r="M21" s="682"/>
      <c r="X21" s="508">
        <v>46</v>
      </c>
    </row>
    <row customHeight="1" ht="67.5" hidden="1">
      <c r="A22" s="508"/>
      <c r="C22" s="529"/>
      <c r="D22" s="524">
        <v>5</v>
      </c>
      <c r="E22" s="282" t="s">
        <v>1220</v>
      </c>
      <c r="F22" s="524" t="s">
        <v>557</v>
      </c>
      <c r="G22" s="684"/>
      <c r="H22" s="685"/>
      <c r="I22" s="684"/>
      <c r="J22" s="685"/>
      <c r="K22" s="684"/>
      <c r="L22" s="1442"/>
      <c r="M22" s="292" t="s">
        <v>1221</v>
      </c>
      <c r="X22" s="508">
        <v>0</v>
      </c>
    </row>
    <row customHeight="1" ht="33.75" hidden="1">
      <c r="C23" s="454"/>
      <c r="D23" s="524">
        <v>6</v>
      </c>
      <c r="E23" s="282" t="s">
        <v>1222</v>
      </c>
      <c r="F23" s="524" t="s">
        <v>1223</v>
      </c>
      <c r="G23" s="684"/>
      <c r="H23" s="684"/>
      <c r="I23" s="684"/>
      <c r="J23" s="684"/>
      <c r="K23" s="684"/>
      <c r="L23" s="684"/>
      <c r="M23" s="292" t="s">
        <v>1224</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CFD53D-6535-FBB1-5D7C-0.626A9EE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1225</v>
      </c>
      <c r="B1" s="1070" t="s">
        <v>1226</v>
      </c>
      <c r="C1" s="1070" t="s">
        <v>1227</v>
      </c>
      <c r="D1" s="1070" t="s">
        <v>1228</v>
      </c>
      <c r="E1" s="1070" t="s">
        <v>1229</v>
      </c>
      <c r="F1" s="1070" t="s">
        <v>1230</v>
      </c>
      <c r="G1" s="1070" t="s">
        <v>1231</v>
      </c>
      <c r="H1" s="1070" t="s">
        <v>1232</v>
      </c>
      <c r="I1" s="1070" t="s">
        <v>1233</v>
      </c>
      <c r="J1" s="1070" t="s">
        <v>1234</v>
      </c>
      <c r="K1" s="1070" t="s">
        <v>1235</v>
      </c>
      <c r="L1" s="1070" t="s">
        <v>1236</v>
      </c>
      <c r="M1" s="1070"/>
      <c r="N1" s="1070" t="s">
        <v>1237</v>
      </c>
      <c r="O1" s="1070" t="s">
        <v>1238</v>
      </c>
      <c r="P1" s="1070" t="s">
        <v>1239</v>
      </c>
      <c r="Q1" s="1070" t="s">
        <v>1240</v>
      </c>
      <c r="R1" s="1070" t="s">
        <v>1241</v>
      </c>
      <c r="S1" s="1070" t="s">
        <v>1242</v>
      </c>
      <c r="T1" s="1070" t="s">
        <v>1243</v>
      </c>
      <c r="U1" s="1070" t="s">
        <v>1244</v>
      </c>
      <c r="V1" s="1070"/>
      <c r="W1" s="800" t="s">
        <v>1245</v>
      </c>
      <c r="X1" s="1070" t="s">
        <v>1246</v>
      </c>
      <c r="Y1" s="1070" t="s">
        <v>1247</v>
      </c>
      <c r="Z1" s="1070"/>
      <c r="AA1" s="1070" t="s">
        <v>1248</v>
      </c>
      <c r="AB1" s="1070"/>
      <c r="AC1" s="1070" t="s">
        <v>1249</v>
      </c>
      <c r="AD1" s="1070"/>
      <c r="AF1" s="1070" t="s">
        <v>1250</v>
      </c>
      <c r="AH1" s="1070" t="s">
        <v>1251</v>
      </c>
      <c r="AI1" s="1070" t="s">
        <v>1252</v>
      </c>
      <c r="AK1" s="1070" t="s">
        <v>1253</v>
      </c>
      <c r="AM1" s="1070" t="s">
        <v>1254</v>
      </c>
      <c r="AP1" s="1070" t="s">
        <v>1255</v>
      </c>
      <c r="AQ1" s="1070" t="s">
        <v>1256</v>
      </c>
      <c r="AS1" s="1070" t="s">
        <v>1257</v>
      </c>
      <c r="AU1" s="1070" t="s">
        <v>1258</v>
      </c>
      <c r="AW1" s="1070" t="s">
        <v>1259</v>
      </c>
      <c r="AX1" s="1070" t="s">
        <v>1260</v>
      </c>
      <c r="AZ1" s="1155" t="s">
        <v>1261</v>
      </c>
      <c r="BB1" s="1070" t="s">
        <v>1262</v>
      </c>
      <c r="BC1" s="1070"/>
      <c r="BE1" s="1070" t="s">
        <v>1263</v>
      </c>
      <c r="BF1" s="1070" t="s">
        <v>1264</v>
      </c>
      <c r="BH1" s="1072" t="s">
        <v>829</v>
      </c>
      <c r="BI1" s="1073"/>
      <c r="BJ1" s="1074" t="s">
        <v>1265</v>
      </c>
      <c r="BK1" s="1073"/>
      <c r="BL1" s="1075" t="s">
        <v>929</v>
      </c>
      <c r="BM1" s="1073"/>
      <c r="BN1" s="1076" t="s">
        <v>1266</v>
      </c>
      <c r="BS1" s="1430"/>
    </row>
    <row customHeight="1" ht="11.25">
      <c r="A2" s="1077" t="s">
        <v>1267</v>
      </c>
      <c r="B2" s="1078">
        <v>2000</v>
      </c>
      <c r="C2" s="1078">
        <v>2022</v>
      </c>
      <c r="D2" s="1078" t="s">
        <v>62</v>
      </c>
      <c r="E2" s="1079" t="s">
        <v>1268</v>
      </c>
      <c r="F2" s="1079" t="s">
        <v>1269</v>
      </c>
      <c r="G2" s="1079" t="s">
        <v>1270</v>
      </c>
      <c r="H2" s="1080" t="s">
        <v>54</v>
      </c>
      <c r="I2" s="1079" t="s">
        <v>99</v>
      </c>
      <c r="J2" s="1079" t="s">
        <v>1271</v>
      </c>
      <c r="K2" s="1081" t="s">
        <v>1272</v>
      </c>
      <c r="L2" s="1082"/>
      <c r="M2" s="1081">
        <v>1</v>
      </c>
      <c r="N2" s="1165" t="s">
        <v>1273</v>
      </c>
      <c r="O2" s="1080" t="s">
        <v>1274</v>
      </c>
      <c r="P2" s="1083" t="s">
        <v>38</v>
      </c>
      <c r="Q2" s="1084" t="s">
        <v>1275</v>
      </c>
      <c r="R2" s="146" t="s">
        <v>1276</v>
      </c>
      <c r="S2" s="146" t="s">
        <v>1277</v>
      </c>
      <c r="T2" s="1085" t="s">
        <v>1278</v>
      </c>
      <c r="U2" s="1082" t="s">
        <v>1279</v>
      </c>
      <c r="V2" s="1086">
        <v>1</v>
      </c>
      <c r="W2" s="1087"/>
      <c r="X2" s="1087" t="s">
        <v>1280</v>
      </c>
      <c r="Y2" s="1078" t="s">
        <v>1281</v>
      </c>
      <c r="Z2" s="1088"/>
      <c r="AA2" s="1078" t="s">
        <v>1282</v>
      </c>
      <c r="AB2" s="1089" t="s">
        <v>1282</v>
      </c>
      <c r="AC2" s="1078" t="s">
        <v>1283</v>
      </c>
      <c r="AD2" s="1089" t="s">
        <v>1283</v>
      </c>
      <c r="AF2" s="1080" t="s">
        <v>1279</v>
      </c>
      <c r="AH2" s="1079" t="s">
        <v>1284</v>
      </c>
      <c r="AI2" s="1079" t="s">
        <v>1284</v>
      </c>
      <c r="AK2" s="1079" t="s">
        <v>1285</v>
      </c>
      <c r="AM2" s="1079" t="s">
        <v>1286</v>
      </c>
      <c r="AP2" s="1090" t="s">
        <v>1280</v>
      </c>
      <c r="AQ2" s="1091" t="s">
        <v>1280</v>
      </c>
      <c r="AS2" s="1078" t="s">
        <v>1287</v>
      </c>
      <c r="AU2" s="1123" t="s">
        <v>1288</v>
      </c>
      <c r="AW2" s="1123" t="s">
        <v>1289</v>
      </c>
      <c r="AX2" s="1123" t="s">
        <v>1289</v>
      </c>
      <c r="AZ2" s="1123" t="s">
        <v>1290</v>
      </c>
      <c r="BB2" s="1123" t="s">
        <v>1291</v>
      </c>
      <c r="BC2" s="1123" t="s">
        <v>1292</v>
      </c>
      <c r="BE2" s="2088" t="s">
        <v>1293</v>
      </c>
      <c r="BF2" s="2088" t="s">
        <v>1293</v>
      </c>
    </row>
    <row customHeight="1" ht="11.25">
      <c r="A3" s="1077" t="s">
        <v>1294</v>
      </c>
      <c r="B3" s="1078">
        <v>2001</v>
      </c>
      <c r="C3" s="1078">
        <v>2023</v>
      </c>
      <c r="D3" s="1078" t="s">
        <v>19</v>
      </c>
      <c r="E3" s="1079" t="s">
        <v>1295</v>
      </c>
      <c r="F3" s="1079" t="s">
        <v>1296</v>
      </c>
      <c r="G3" s="1079" t="s">
        <v>1297</v>
      </c>
      <c r="H3" s="1080" t="s">
        <v>1298</v>
      </c>
      <c r="I3" s="1079" t="s">
        <v>109</v>
      </c>
      <c r="J3" s="1079" t="s">
        <v>555</v>
      </c>
      <c r="K3" s="1081" t="s">
        <v>1299</v>
      </c>
      <c r="L3" s="1082">
        <f>_xlfn.IFERROR(MATCH(K3,OFFER_METHOD,0),0)</f>
        <v>0</v>
      </c>
      <c r="M3" s="1081">
        <v>2</v>
      </c>
      <c r="N3" s="1165" t="s">
        <v>1300</v>
      </c>
      <c r="O3" s="1080" t="s">
        <v>1301</v>
      </c>
      <c r="P3" s="1083" t="s">
        <v>1302</v>
      </c>
      <c r="Q3" s="1084" t="s">
        <v>1303</v>
      </c>
      <c r="R3" s="146" t="s">
        <v>1304</v>
      </c>
      <c r="S3" s="146" t="s">
        <v>1305</v>
      </c>
      <c r="T3" s="1085" t="s">
        <v>1306</v>
      </c>
      <c r="U3" s="1082" t="s">
        <v>1307</v>
      </c>
      <c r="V3" s="1086">
        <v>2</v>
      </c>
      <c r="W3" s="1087"/>
      <c r="X3" s="1087" t="s">
        <v>1308</v>
      </c>
      <c r="Y3" s="1078" t="s">
        <v>1281</v>
      </c>
      <c r="Z3" s="1088"/>
      <c r="AA3" s="1078" t="s">
        <v>1309</v>
      </c>
      <c r="AB3" s="1089" t="s">
        <v>1309</v>
      </c>
      <c r="AC3" s="1078" t="s">
        <v>1310</v>
      </c>
      <c r="AD3" s="1089" t="s">
        <v>1310</v>
      </c>
      <c r="AF3" s="1080" t="s">
        <v>1307</v>
      </c>
      <c r="AH3" s="1079" t="s">
        <v>1311</v>
      </c>
      <c r="AI3" s="1079" t="s">
        <v>1312</v>
      </c>
      <c r="AK3" s="1079" t="s">
        <v>1313</v>
      </c>
      <c r="AM3" s="1079" t="s">
        <v>1314</v>
      </c>
      <c r="AP3" s="1090" t="s">
        <v>1315</v>
      </c>
      <c r="AQ3" s="1091" t="s">
        <v>1315</v>
      </c>
      <c r="AS3" s="1078" t="s">
        <v>1316</v>
      </c>
      <c r="AU3" s="1123" t="s">
        <v>1317</v>
      </c>
      <c r="AW3" s="1123" t="s">
        <v>1318</v>
      </c>
      <c r="AX3" s="1123" t="s">
        <v>1318</v>
      </c>
      <c r="AZ3" s="1123" t="s">
        <v>1319</v>
      </c>
      <c r="BB3" s="1123" t="s">
        <v>1320</v>
      </c>
      <c r="BC3" s="1123" t="s">
        <v>1292</v>
      </c>
      <c r="BE3" s="2088" t="s">
        <v>1321</v>
      </c>
      <c r="BF3" s="2088" t="s">
        <v>1321</v>
      </c>
      <c r="BH3" s="1070" t="s">
        <v>1322</v>
      </c>
      <c r="BJ3" s="1070" t="s">
        <v>1323</v>
      </c>
      <c r="BL3" s="1070" t="s">
        <v>1324</v>
      </c>
      <c r="BN3" s="1070" t="s">
        <v>1325</v>
      </c>
      <c r="BR3" s="1070" t="s">
        <v>1326</v>
      </c>
      <c r="BS3" s="1431"/>
      <c r="BT3" s="1073"/>
      <c r="BU3" s="1070" t="s">
        <v>1327</v>
      </c>
      <c r="BV3" s="1073"/>
      <c r="BW3" s="1692"/>
      <c r="BX3" s="1694" t="s">
        <v>1328</v>
      </c>
      <c r="CA3" s="1070" t="s">
        <v>1329</v>
      </c>
    </row>
    <row customHeight="1" ht="11.25">
      <c r="A4" s="1077" t="s">
        <v>1330</v>
      </c>
      <c r="B4" s="1078">
        <v>2002</v>
      </c>
      <c r="C4" s="1078">
        <v>2024</v>
      </c>
      <c r="E4" s="1079" t="s">
        <v>1331</v>
      </c>
      <c r="F4" s="1079" t="s">
        <v>1332</v>
      </c>
      <c r="H4" s="1080" t="s">
        <v>1333</v>
      </c>
      <c r="I4" s="1079" t="s">
        <v>90</v>
      </c>
      <c r="J4" s="1079" t="s">
        <v>1334</v>
      </c>
      <c r="K4" s="1081" t="s">
        <v>1335</v>
      </c>
      <c r="L4" s="1082">
        <f>_xlfn.IFERROR(MATCH(K4,OFFER_METHOD,0),0)</f>
        <v>0</v>
      </c>
      <c r="M4" s="1081">
        <v>3</v>
      </c>
      <c r="N4" s="1165" t="s">
        <v>1336</v>
      </c>
      <c r="O4" s="1079" t="s">
        <v>1337</v>
      </c>
      <c r="Q4" s="1084" t="s">
        <v>1338</v>
      </c>
      <c r="R4" s="146" t="s">
        <v>1339</v>
      </c>
      <c r="S4" s="146" t="s">
        <v>1340</v>
      </c>
      <c r="T4" s="1085" t="s">
        <v>1341</v>
      </c>
      <c r="U4" s="1082" t="s">
        <v>1342</v>
      </c>
      <c r="V4" s="1086">
        <v>3</v>
      </c>
      <c r="W4" s="1087"/>
      <c r="X4" s="1087" t="s">
        <v>1343</v>
      </c>
      <c r="Y4" s="1078" t="s">
        <v>1281</v>
      </c>
      <c r="Z4" s="1094"/>
      <c r="AC4" s="1078" t="s">
        <v>1344</v>
      </c>
      <c r="AD4" s="1089" t="s">
        <v>1344</v>
      </c>
      <c r="AF4" s="1080" t="s">
        <v>1342</v>
      </c>
      <c r="AH4" s="1080" t="s">
        <v>1345</v>
      </c>
      <c r="AK4" s="1079" t="s">
        <v>1346</v>
      </c>
      <c r="AM4" s="1079" t="s">
        <v>1347</v>
      </c>
      <c r="AP4" s="1090" t="s">
        <v>1308</v>
      </c>
      <c r="AQ4" s="1091" t="s">
        <v>1308</v>
      </c>
      <c r="AS4" s="1078" t="s">
        <v>1348</v>
      </c>
      <c r="AU4" s="1123" t="s">
        <v>1349</v>
      </c>
      <c r="AW4" s="1123" t="s">
        <v>1350</v>
      </c>
      <c r="AX4" s="1123" t="s">
        <v>1350</v>
      </c>
      <c r="AZ4" s="1123" t="s">
        <v>1351</v>
      </c>
      <c r="BB4" s="1123" t="s">
        <v>1352</v>
      </c>
      <c r="BC4" s="1123" t="s">
        <v>1353</v>
      </c>
      <c r="BE4" s="1123">
        <v>2000</v>
      </c>
      <c r="BF4" s="1123" t="s">
        <v>1354</v>
      </c>
      <c r="BH4" s="1071" t="s">
        <v>1355</v>
      </c>
      <c r="BJ4" s="1071" t="s">
        <v>1355</v>
      </c>
      <c r="BL4" s="1071" t="s">
        <v>1355</v>
      </c>
      <c r="BN4" s="1071" t="s">
        <v>1355</v>
      </c>
      <c r="BQ4" s="1435" t="s">
        <v>1356</v>
      </c>
      <c r="BR4" s="1162" t="s">
        <v>1357</v>
      </c>
      <c r="BS4" s="277"/>
      <c r="BT4" s="1435" t="s">
        <v>1358</v>
      </c>
      <c r="BU4" s="1162" t="s">
        <v>1359</v>
      </c>
      <c r="BV4" s="1073"/>
      <c r="BW4" s="1699" t="s">
        <v>1360</v>
      </c>
      <c r="BX4" s="1693" t="s">
        <v>1361</v>
      </c>
      <c r="BZ4" s="1435" t="s">
        <v>1362</v>
      </c>
      <c r="CA4" s="1162" t="s">
        <v>1363</v>
      </c>
    </row>
    <row customHeight="1" ht="11.25">
      <c r="A5" s="1077" t="s">
        <v>1364</v>
      </c>
      <c r="B5" s="1078">
        <v>2003</v>
      </c>
      <c r="C5" s="2094">
        <v>2025</v>
      </c>
      <c r="D5" s="1700" t="s">
        <v>1365</v>
      </c>
      <c r="E5" s="2095" t="s">
        <v>1366</v>
      </c>
      <c r="F5" s="1079" t="s">
        <v>1367</v>
      </c>
      <c r="H5" s="1080" t="s">
        <v>1368</v>
      </c>
      <c r="I5" s="1079" t="s">
        <v>91</v>
      </c>
      <c r="K5" s="1081" t="s">
        <v>1369</v>
      </c>
      <c r="L5" s="1082">
        <f>_xlfn.IFERROR(MATCH(K5,OFFER_METHOD,0),0)</f>
        <v>0</v>
      </c>
      <c r="M5" s="1081">
        <v>4</v>
      </c>
      <c r="N5" s="1095" t="s">
        <v>1370</v>
      </c>
      <c r="O5" s="1079" t="s">
        <v>1371</v>
      </c>
      <c r="Q5" s="1084" t="s">
        <v>1372</v>
      </c>
      <c r="R5" s="146" t="s">
        <v>1373</v>
      </c>
      <c r="T5" s="1080" t="s">
        <v>1374</v>
      </c>
      <c r="U5" s="1082" t="s">
        <v>1375</v>
      </c>
      <c r="V5" s="1086">
        <v>4</v>
      </c>
      <c r="W5" s="1087"/>
      <c r="X5" s="1087" t="s">
        <v>169</v>
      </c>
      <c r="Y5" s="1078" t="s">
        <v>1376</v>
      </c>
      <c r="Z5" s="1094">
        <v>1</v>
      </c>
      <c r="AF5" s="1080" t="s">
        <v>1377</v>
      </c>
      <c r="AH5" s="1079" t="s">
        <v>1378</v>
      </c>
      <c r="AK5" s="1079" t="s">
        <v>1379</v>
      </c>
      <c r="AM5" s="1079" t="s">
        <v>1380</v>
      </c>
      <c r="AP5" s="1090" t="s">
        <v>169</v>
      </c>
      <c r="AQ5" s="1091" t="s">
        <v>169</v>
      </c>
      <c r="AU5" s="1123" t="s">
        <v>1381</v>
      </c>
      <c r="AW5" s="1123" t="s">
        <v>1382</v>
      </c>
      <c r="AX5" s="1123" t="s">
        <v>1382</v>
      </c>
      <c r="AZ5" s="1123" t="s">
        <v>1383</v>
      </c>
      <c r="BB5" s="1123" t="s">
        <v>1384</v>
      </c>
      <c r="BC5" s="1123" t="s">
        <v>1385</v>
      </c>
      <c r="BE5" s="1123">
        <v>2001</v>
      </c>
      <c r="BF5" s="1123" t="s">
        <v>1386</v>
      </c>
      <c r="BH5" s="1071" t="s">
        <v>1068</v>
      </c>
      <c r="BJ5" s="1071" t="s">
        <v>1068</v>
      </c>
      <c r="BL5" s="1071" t="s">
        <v>1068</v>
      </c>
      <c r="BN5" s="1071" t="s">
        <v>1387</v>
      </c>
      <c r="BQ5" s="1284">
        <v>4213775</v>
      </c>
      <c r="BR5" s="1071" t="s">
        <v>1280</v>
      </c>
      <c r="BS5" s="1432"/>
      <c r="BT5" s="1284">
        <v>64236871</v>
      </c>
      <c r="BU5" s="1071" t="s">
        <v>230</v>
      </c>
      <c r="BV5" s="1073"/>
      <c r="BW5" s="1697">
        <v>4213767</v>
      </c>
      <c r="BX5" s="1695" t="s">
        <v>1388</v>
      </c>
      <c r="BZ5" s="1284">
        <v>64237509</v>
      </c>
      <c r="CA5" s="1298" t="s">
        <v>1389</v>
      </c>
    </row>
    <row customHeight="1" ht="11.25">
      <c r="A6" s="1077" t="s">
        <v>1390</v>
      </c>
      <c r="B6" s="1078">
        <v>2004</v>
      </c>
      <c r="C6" s="2094">
        <v>2026</v>
      </c>
      <c r="D6" s="2096"/>
      <c r="E6" s="2095" t="s">
        <v>1391</v>
      </c>
      <c r="F6" s="1096"/>
      <c r="H6" s="1080" t="s">
        <v>1392</v>
      </c>
      <c r="I6" s="1079" t="s">
        <v>110</v>
      </c>
      <c r="J6" s="1070" t="s">
        <v>1393</v>
      </c>
      <c r="L6" s="1082">
        <f>SUM(kind_of_control_method_filter)</f>
        <v>0</v>
      </c>
      <c r="N6" s="1095" t="s">
        <v>1394</v>
      </c>
      <c r="O6" s="1079" t="s">
        <v>1395</v>
      </c>
      <c r="R6" s="146" t="s">
        <v>1275</v>
      </c>
      <c r="T6" s="1080" t="s">
        <v>1396</v>
      </c>
      <c r="U6" s="1082" t="s">
        <v>1377</v>
      </c>
      <c r="V6" s="1086">
        <v>5</v>
      </c>
      <c r="W6" s="1087"/>
      <c r="X6" s="1078" t="s">
        <v>175</v>
      </c>
      <c r="Y6" s="1078" t="s">
        <v>1397</v>
      </c>
      <c r="Z6" s="1094"/>
      <c r="AA6" s="1097"/>
      <c r="AH6" s="1079" t="s">
        <v>1398</v>
      </c>
      <c r="AK6" s="1079" t="s">
        <v>1399</v>
      </c>
      <c r="AM6" s="1079" t="s">
        <v>1400</v>
      </c>
      <c r="AP6" s="1090" t="s">
        <v>175</v>
      </c>
      <c r="AQ6" s="1091" t="s">
        <v>175</v>
      </c>
      <c r="AU6" s="1123" t="s">
        <v>1401</v>
      </c>
      <c r="AW6" s="1123" t="s">
        <v>1402</v>
      </c>
      <c r="AX6" s="1123" t="s">
        <v>1402</v>
      </c>
      <c r="BB6" s="1123" t="s">
        <v>1403</v>
      </c>
      <c r="BC6" s="1123" t="s">
        <v>1385</v>
      </c>
      <c r="BE6" s="1123">
        <v>2002</v>
      </c>
      <c r="BF6" s="1123" t="s">
        <v>1404</v>
      </c>
      <c r="BH6" s="1071" t="s">
        <v>1405</v>
      </c>
      <c r="BJ6" s="1071" t="s">
        <v>1406</v>
      </c>
      <c r="BL6" s="1071" t="s">
        <v>1406</v>
      </c>
      <c r="BN6" s="1071" t="s">
        <v>1407</v>
      </c>
      <c r="BQ6" s="1284">
        <v>4213784</v>
      </c>
      <c r="BR6" s="1298" t="s">
        <v>1315</v>
      </c>
      <c r="BS6" s="1433"/>
      <c r="BT6" s="1284">
        <v>64236872</v>
      </c>
      <c r="BU6" s="1071" t="s">
        <v>235</v>
      </c>
      <c r="BV6" s="1073"/>
      <c r="BW6" s="1697">
        <v>4213768</v>
      </c>
      <c r="BX6" s="1695" t="s">
        <v>255</v>
      </c>
      <c r="BZ6" s="1284">
        <v>64237510</v>
      </c>
      <c r="CA6" s="1071" t="s">
        <v>1408</v>
      </c>
    </row>
    <row customHeight="1" ht="11.25">
      <c r="A7" s="1077" t="s">
        <v>1409</v>
      </c>
      <c r="B7" s="1078">
        <v>2005</v>
      </c>
      <c r="E7" s="1079" t="s">
        <v>1410</v>
      </c>
      <c r="F7" s="1096"/>
      <c r="H7" s="1080" t="s">
        <v>1411</v>
      </c>
      <c r="I7" s="1079" t="s">
        <v>92</v>
      </c>
      <c r="J7" s="1079" t="s">
        <v>1412</v>
      </c>
      <c r="N7" s="1099" t="s">
        <v>1413</v>
      </c>
      <c r="O7" s="1079" t="s">
        <v>1414</v>
      </c>
      <c r="U7" s="1082" t="s">
        <v>19</v>
      </c>
      <c r="V7" s="373" t="s">
        <v>92</v>
      </c>
      <c r="W7" s="1087"/>
      <c r="X7" s="1078" t="s">
        <v>181</v>
      </c>
      <c r="Y7" s="1078" t="s">
        <v>1376</v>
      </c>
      <c r="Z7" s="1094"/>
      <c r="AA7" s="1097"/>
      <c r="AH7" s="1079" t="s">
        <v>1415</v>
      </c>
      <c r="AK7" s="1079" t="s">
        <v>1416</v>
      </c>
      <c r="AM7" s="1079" t="s">
        <v>1417</v>
      </c>
      <c r="AP7" s="1090" t="s">
        <v>181</v>
      </c>
      <c r="AQ7" s="1091" t="s">
        <v>181</v>
      </c>
      <c r="AU7" s="1123" t="s">
        <v>1418</v>
      </c>
      <c r="AW7" s="1123" t="s">
        <v>1419</v>
      </c>
      <c r="AX7" s="1123" t="s">
        <v>1419</v>
      </c>
      <c r="AZ7" s="1070" t="s">
        <v>1420</v>
      </c>
      <c r="BB7" s="1123" t="s">
        <v>1421</v>
      </c>
      <c r="BC7" s="1123" t="s">
        <v>1385</v>
      </c>
      <c r="BE7" s="1123">
        <v>2003</v>
      </c>
      <c r="BF7" s="1123" t="s">
        <v>1422</v>
      </c>
      <c r="BH7" s="1071" t="s">
        <v>1423</v>
      </c>
      <c r="BJ7" s="1071" t="s">
        <v>1405</v>
      </c>
      <c r="BL7" s="1071" t="s">
        <v>1405</v>
      </c>
      <c r="BN7" s="1071" t="s">
        <v>1424</v>
      </c>
      <c r="BQ7" s="1284">
        <v>4213781</v>
      </c>
      <c r="BR7" s="1071" t="s">
        <v>1308</v>
      </c>
      <c r="BS7" s="1432"/>
      <c r="BT7" s="1284">
        <v>64236873</v>
      </c>
      <c r="BU7" s="1071" t="s">
        <v>240</v>
      </c>
      <c r="BV7" s="1073"/>
      <c r="BW7" s="1697">
        <v>4213769</v>
      </c>
      <c r="BX7" s="1695" t="s">
        <v>1425</v>
      </c>
      <c r="BZ7" s="1284">
        <v>64237511</v>
      </c>
      <c r="CA7" s="1071" t="s">
        <v>270</v>
      </c>
    </row>
    <row customHeight="1" ht="11.25">
      <c r="A8" s="1077" t="s">
        <v>1426</v>
      </c>
      <c r="B8" s="1078">
        <v>2006</v>
      </c>
      <c r="E8" s="1079" t="s">
        <v>1427</v>
      </c>
      <c r="F8" s="1096"/>
      <c r="H8" s="1080" t="s">
        <v>1428</v>
      </c>
      <c r="I8" s="1079" t="s">
        <v>93</v>
      </c>
      <c r="J8" s="1079" t="s">
        <v>1429</v>
      </c>
      <c r="N8" s="1166" t="s">
        <v>1430</v>
      </c>
      <c r="O8" s="1079" t="s">
        <v>1431</v>
      </c>
      <c r="V8" s="373" t="s">
        <v>93</v>
      </c>
      <c r="W8" s="1087"/>
      <c r="X8" s="1078" t="s">
        <v>187</v>
      </c>
      <c r="Y8" s="1078" t="s">
        <v>1376</v>
      </c>
      <c r="Z8" s="1094"/>
      <c r="AA8" s="1097"/>
      <c r="AK8" s="1079" t="s">
        <v>1432</v>
      </c>
      <c r="AP8" s="1090" t="s">
        <v>187</v>
      </c>
      <c r="AQ8" s="1091" t="s">
        <v>187</v>
      </c>
      <c r="AU8" s="1123" t="s">
        <v>1433</v>
      </c>
      <c r="AW8" s="1123" t="s">
        <v>1434</v>
      </c>
      <c r="AX8" s="1123" t="s">
        <v>1434</v>
      </c>
      <c r="AZ8" s="1123" t="s">
        <v>67</v>
      </c>
      <c r="BB8" s="1123" t="s">
        <v>1435</v>
      </c>
      <c r="BC8" s="1123" t="s">
        <v>1385</v>
      </c>
      <c r="BE8" s="1123">
        <v>2004</v>
      </c>
      <c r="BF8" s="1123" t="s">
        <v>1436</v>
      </c>
      <c r="BH8" s="1071" t="s">
        <v>1437</v>
      </c>
      <c r="BJ8" s="1071" t="s">
        <v>1063</v>
      </c>
      <c r="BL8" s="1071" t="s">
        <v>1063</v>
      </c>
      <c r="BN8" s="1071" t="s">
        <v>1438</v>
      </c>
      <c r="BQ8" s="1284">
        <v>4213776</v>
      </c>
      <c r="BR8" s="1071" t="s">
        <v>169</v>
      </c>
      <c r="BS8" s="1432"/>
      <c r="BT8" s="1284">
        <v>64236874</v>
      </c>
      <c r="BU8" s="1298" t="s">
        <v>1439</v>
      </c>
      <c r="BV8" s="1073"/>
      <c r="BW8" s="1697">
        <v>4213770</v>
      </c>
      <c r="BX8" s="1698" t="s">
        <v>1440</v>
      </c>
      <c r="BZ8" s="1284">
        <v>64237512</v>
      </c>
      <c r="CA8" s="1071" t="s">
        <v>265</v>
      </c>
    </row>
    <row customHeight="1" ht="11.25">
      <c r="A9" s="1077" t="s">
        <v>1441</v>
      </c>
      <c r="B9" s="1078">
        <v>2007</v>
      </c>
      <c r="E9" s="1079" t="s">
        <v>1442</v>
      </c>
      <c r="F9" s="2097" t="s">
        <v>1443</v>
      </c>
      <c r="G9" s="1070" t="s">
        <v>1444</v>
      </c>
      <c r="H9" s="1070" t="s">
        <v>1445</v>
      </c>
      <c r="I9" s="1079" t="s">
        <v>111</v>
      </c>
      <c r="O9" s="1079" t="s">
        <v>1446</v>
      </c>
      <c r="V9" s="373" t="s">
        <v>111</v>
      </c>
      <c r="W9" s="1087"/>
      <c r="X9" s="1078" t="s">
        <v>193</v>
      </c>
      <c r="Y9" s="1078" t="s">
        <v>1281</v>
      </c>
      <c r="Z9" s="1094">
        <v>1</v>
      </c>
      <c r="AA9" s="1097"/>
      <c r="AK9" s="1079" t="s">
        <v>1447</v>
      </c>
      <c r="AP9" s="1090" t="s">
        <v>1448</v>
      </c>
      <c r="AQ9" s="1091" t="s">
        <v>1448</v>
      </c>
      <c r="AW9" s="1123" t="s">
        <v>1449</v>
      </c>
      <c r="AX9" s="1123" t="s">
        <v>1449</v>
      </c>
      <c r="AZ9" s="1123" t="s">
        <v>1450</v>
      </c>
      <c r="BB9" s="1123" t="s">
        <v>1451</v>
      </c>
      <c r="BC9" s="1123" t="s">
        <v>1385</v>
      </c>
      <c r="BE9" s="1123">
        <v>2005</v>
      </c>
      <c r="BF9" s="1123" t="s">
        <v>1452</v>
      </c>
      <c r="BH9" s="1071" t="s">
        <v>1453</v>
      </c>
      <c r="BJ9" s="1071" t="s">
        <v>1454</v>
      </c>
      <c r="BL9" s="1071" t="s">
        <v>1454</v>
      </c>
      <c r="BN9" s="1071" t="s">
        <v>1455</v>
      </c>
      <c r="BQ9" s="1284">
        <v>4213777</v>
      </c>
      <c r="BR9" s="1071" t="s">
        <v>175</v>
      </c>
      <c r="BS9" s="1432"/>
      <c r="BT9" s="1284">
        <v>64236875</v>
      </c>
      <c r="BU9" s="1071" t="s">
        <v>245</v>
      </c>
      <c r="BV9" s="1073"/>
      <c r="BW9" s="1692"/>
      <c r="BX9" s="1692"/>
    </row>
    <row customHeight="1" ht="11.25">
      <c r="A10" s="1077" t="s">
        <v>1456</v>
      </c>
      <c r="B10" s="1078">
        <v>2008</v>
      </c>
      <c r="E10" s="1081" t="s">
        <v>1457</v>
      </c>
      <c r="F10" s="2098" t="s">
        <v>1458</v>
      </c>
      <c r="G10" s="2095" t="s">
        <v>1459</v>
      </c>
      <c r="H10" s="1079" t="s">
        <v>1460</v>
      </c>
      <c r="I10" s="1079" t="s">
        <v>151</v>
      </c>
      <c r="J10" s="1070" t="s">
        <v>1461</v>
      </c>
      <c r="K10" s="1070" t="s">
        <v>1462</v>
      </c>
      <c r="O10" s="1079" t="s">
        <v>1463</v>
      </c>
      <c r="V10" s="374" t="s">
        <v>151</v>
      </c>
      <c r="W10" s="1100"/>
      <c r="X10" s="1100" t="s">
        <v>1464</v>
      </c>
      <c r="Y10" s="1101" t="s">
        <v>1465</v>
      </c>
      <c r="Z10" s="1094"/>
      <c r="AP10" s="1090" t="s">
        <v>1464</v>
      </c>
      <c r="AQ10" s="1091" t="s">
        <v>1464</v>
      </c>
      <c r="AW10" s="1123" t="s">
        <v>1466</v>
      </c>
      <c r="AX10" s="1123" t="s">
        <v>1466</v>
      </c>
      <c r="AZ10" s="1123" t="s">
        <v>1170</v>
      </c>
      <c r="BB10" s="1123" t="s">
        <v>1467</v>
      </c>
      <c r="BC10" s="1123" t="s">
        <v>1385</v>
      </c>
      <c r="BE10" s="1123">
        <v>2006</v>
      </c>
      <c r="BF10" s="1123" t="s">
        <v>1468</v>
      </c>
      <c r="BH10" s="1071" t="s">
        <v>1469</v>
      </c>
      <c r="BJ10" s="1071" t="s">
        <v>1470</v>
      </c>
      <c r="BL10" s="1071" t="s">
        <v>1470</v>
      </c>
      <c r="BN10" s="1071" t="s">
        <v>1471</v>
      </c>
      <c r="BQ10" s="1284">
        <v>4213778</v>
      </c>
      <c r="BR10" s="1071" t="s">
        <v>181</v>
      </c>
      <c r="BS10" s="1432"/>
      <c r="BT10" s="1284">
        <v>64236876</v>
      </c>
      <c r="BU10" s="1071" t="s">
        <v>225</v>
      </c>
      <c r="BV10" s="1073"/>
      <c r="BW10" s="1692"/>
      <c r="BX10" s="1692"/>
    </row>
    <row customHeight="1" ht="11.25">
      <c r="A11" s="1077" t="s">
        <v>1472</v>
      </c>
      <c r="B11" s="1078">
        <v>2009</v>
      </c>
      <c r="E11" s="1081" t="s">
        <v>1473</v>
      </c>
      <c r="F11" s="2098" t="s">
        <v>1474</v>
      </c>
      <c r="G11" s="2095" t="s">
        <v>1475</v>
      </c>
      <c r="H11" s="1079" t="s">
        <v>1476</v>
      </c>
      <c r="I11" s="1079" t="s">
        <v>152</v>
      </c>
      <c r="J11" s="1080" t="s">
        <v>1477</v>
      </c>
      <c r="K11" s="1102" t="s">
        <v>1478</v>
      </c>
      <c r="O11" s="1080" t="s">
        <v>1007</v>
      </c>
      <c r="V11" s="373" t="s">
        <v>152</v>
      </c>
      <c r="W11" s="278"/>
      <c r="X11" s="1087" t="s">
        <v>1448</v>
      </c>
      <c r="Y11" s="1078" t="s">
        <v>1479</v>
      </c>
      <c r="Z11" s="1094"/>
      <c r="AP11" s="1090" t="s">
        <v>193</v>
      </c>
      <c r="AQ11" s="1092" t="s">
        <v>193</v>
      </c>
      <c r="AW11" s="1123" t="s">
        <v>1480</v>
      </c>
      <c r="AX11" s="1123" t="s">
        <v>1480</v>
      </c>
      <c r="AZ11" s="1123" t="s">
        <v>1481</v>
      </c>
      <c r="BB11" s="1123" t="s">
        <v>1482</v>
      </c>
      <c r="BC11" s="1123" t="s">
        <v>1385</v>
      </c>
      <c r="BE11" s="1123">
        <v>2007</v>
      </c>
      <c r="BF11" s="1123" t="s">
        <v>1483</v>
      </c>
      <c r="BH11" s="1071" t="s">
        <v>1484</v>
      </c>
      <c r="BJ11" s="1071" t="s">
        <v>1453</v>
      </c>
      <c r="BL11" s="1071" t="s">
        <v>1453</v>
      </c>
      <c r="BN11" s="1071" t="s">
        <v>1485</v>
      </c>
      <c r="BQ11" s="1284">
        <v>4213780</v>
      </c>
      <c r="BR11" s="1071" t="s">
        <v>187</v>
      </c>
      <c r="BS11" s="1432"/>
      <c r="BW11" s="1692"/>
      <c r="BX11" s="1692"/>
    </row>
    <row customHeight="1" ht="11.25">
      <c r="A12" s="1077" t="s">
        <v>1486</v>
      </c>
      <c r="B12" s="1078">
        <v>2010</v>
      </c>
      <c r="E12" s="1081" t="s">
        <v>1487</v>
      </c>
      <c r="F12" s="2098" t="s">
        <v>1488</v>
      </c>
      <c r="G12" s="2095" t="s">
        <v>1476</v>
      </c>
      <c r="I12" s="1079" t="s">
        <v>153</v>
      </c>
      <c r="J12" s="1080" t="s">
        <v>1489</v>
      </c>
      <c r="K12" s="1102" t="s">
        <v>1490</v>
      </c>
      <c r="O12" s="1080" t="s">
        <v>1275</v>
      </c>
      <c r="V12" s="373" t="s">
        <v>153</v>
      </c>
      <c r="W12" s="1092"/>
      <c r="X12" s="1087" t="s">
        <v>1491</v>
      </c>
      <c r="Y12" s="1078" t="s">
        <v>1281</v>
      </c>
      <c r="AP12" s="1090"/>
      <c r="AW12" s="1123" t="s">
        <v>152</v>
      </c>
      <c r="AX12" s="1123" t="s">
        <v>152</v>
      </c>
      <c r="AZ12" s="1123" t="s">
        <v>1492</v>
      </c>
      <c r="BB12" s="1123" t="s">
        <v>1493</v>
      </c>
      <c r="BC12" s="1123" t="s">
        <v>1385</v>
      </c>
      <c r="BE12" s="1123">
        <v>2008</v>
      </c>
      <c r="BF12" s="1123" t="s">
        <v>1494</v>
      </c>
      <c r="BH12" s="1071" t="s">
        <v>1495</v>
      </c>
      <c r="BJ12" s="1071" t="s">
        <v>1496</v>
      </c>
      <c r="BL12" s="1071" t="s">
        <v>1496</v>
      </c>
      <c r="BN12" s="1071" t="s">
        <v>1497</v>
      </c>
      <c r="BQ12" s="1284">
        <v>4213779</v>
      </c>
      <c r="BR12" s="1071" t="s">
        <v>1448</v>
      </c>
      <c r="BS12" s="1432"/>
      <c r="BT12" s="1073"/>
      <c r="BU12" s="1073"/>
      <c r="BV12" s="1073"/>
      <c r="BW12" s="1692"/>
      <c r="BX12" s="1692"/>
    </row>
    <row customHeight="1" ht="11.25">
      <c r="A13" s="1077" t="s">
        <v>1498</v>
      </c>
      <c r="B13" s="1078">
        <v>2011</v>
      </c>
      <c r="E13" s="1079" t="s">
        <v>1499</v>
      </c>
      <c r="F13" s="1096"/>
      <c r="I13" s="1079" t="s">
        <v>154</v>
      </c>
      <c r="K13" s="1102" t="s">
        <v>1447</v>
      </c>
      <c r="V13" s="373" t="s">
        <v>154</v>
      </c>
      <c r="W13" s="1092"/>
      <c r="X13" s="1092"/>
      <c r="Y13" s="1092"/>
      <c r="AW13" s="1123" t="s">
        <v>153</v>
      </c>
      <c r="AX13" s="1123" t="s">
        <v>153</v>
      </c>
      <c r="BB13" s="1123" t="s">
        <v>1500</v>
      </c>
      <c r="BC13" s="1123" t="s">
        <v>1501</v>
      </c>
      <c r="BE13" s="1123">
        <v>2009</v>
      </c>
      <c r="BF13" s="1123" t="s">
        <v>1502</v>
      </c>
      <c r="BH13" s="1071" t="s">
        <v>1503</v>
      </c>
      <c r="BJ13" s="1071" t="s">
        <v>1484</v>
      </c>
      <c r="BL13" s="1071" t="s">
        <v>1484</v>
      </c>
      <c r="BN13" s="1071" t="s">
        <v>1504</v>
      </c>
      <c r="BQ13" s="1284">
        <v>4213783</v>
      </c>
      <c r="BR13" s="1071" t="s">
        <v>1464</v>
      </c>
      <c r="BS13" s="1432"/>
      <c r="BT13" s="1073"/>
      <c r="BU13" s="1073"/>
      <c r="BV13" s="1073"/>
      <c r="BW13" s="1696"/>
      <c r="BX13" s="1692"/>
    </row>
    <row customHeight="1" ht="11.25">
      <c r="A14" s="1077" t="s">
        <v>1505</v>
      </c>
      <c r="B14" s="1078">
        <v>2012</v>
      </c>
      <c r="I14" s="1079" t="s">
        <v>155</v>
      </c>
      <c r="J14" s="1070" t="s">
        <v>1506</v>
      </c>
      <c r="N14" s="1070" t="s">
        <v>1507</v>
      </c>
      <c r="V14" s="1086">
        <v>13</v>
      </c>
      <c r="W14" s="1087"/>
      <c r="X14" s="1087" t="s">
        <v>1315</v>
      </c>
      <c r="Y14" s="1078" t="s">
        <v>1281</v>
      </c>
      <c r="AW14" s="1123" t="s">
        <v>154</v>
      </c>
      <c r="AX14" s="1123" t="s">
        <v>154</v>
      </c>
      <c r="AZ14" s="1070" t="s">
        <v>1508</v>
      </c>
      <c r="BB14" s="1123" t="s">
        <v>1509</v>
      </c>
      <c r="BC14" s="1123" t="s">
        <v>1501</v>
      </c>
      <c r="BE14" s="1123">
        <v>2010</v>
      </c>
      <c r="BF14" s="1123" t="s">
        <v>1062</v>
      </c>
      <c r="BH14" s="1071" t="s">
        <v>1424</v>
      </c>
      <c r="BJ14" s="1220" t="s">
        <v>1510</v>
      </c>
      <c r="BL14" s="1220" t="s">
        <v>1510</v>
      </c>
      <c r="BN14" s="1071" t="s">
        <v>1511</v>
      </c>
      <c r="BQ14" s="1284">
        <v>4213782</v>
      </c>
      <c r="BR14" s="1071" t="s">
        <v>193</v>
      </c>
      <c r="BS14" s="1432"/>
      <c r="BT14" s="1073"/>
      <c r="BU14" s="1073"/>
      <c r="BV14" s="1073"/>
      <c r="BW14" s="1696"/>
      <c r="BX14" s="1692"/>
    </row>
    <row customHeight="1" ht="19.5">
      <c r="A15" s="1077" t="s">
        <v>1512</v>
      </c>
      <c r="B15" s="1078">
        <v>2013</v>
      </c>
      <c r="E15" s="1700" t="s">
        <v>1513</v>
      </c>
      <c r="G15" s="1070" t="s">
        <v>1514</v>
      </c>
      <c r="H15" s="1070" t="s">
        <v>1515</v>
      </c>
      <c r="I15" s="1081" t="s">
        <v>156</v>
      </c>
      <c r="J15" s="1092" t="s">
        <v>587</v>
      </c>
      <c r="N15" s="1161" t="s">
        <v>1516</v>
      </c>
      <c r="X15" s="1090"/>
      <c r="AW15" s="1123" t="s">
        <v>155</v>
      </c>
      <c r="AX15" s="1123" t="s">
        <v>155</v>
      </c>
      <c r="AZ15" s="1123" t="s">
        <v>67</v>
      </c>
      <c r="BB15" s="1123" t="s">
        <v>1517</v>
      </c>
      <c r="BC15" s="1123" t="s">
        <v>1501</v>
      </c>
      <c r="BE15" s="1123">
        <v>2011</v>
      </c>
      <c r="BF15" s="1123" t="s">
        <v>1060</v>
      </c>
      <c r="BH15" s="1071" t="s">
        <v>1438</v>
      </c>
      <c r="BJ15" s="1220" t="s">
        <v>1518</v>
      </c>
      <c r="BL15" s="1220" t="s">
        <v>1518</v>
      </c>
      <c r="BN15" s="1071" t="s">
        <v>1519</v>
      </c>
      <c r="BR15" s="1073"/>
      <c r="BS15" s="1434"/>
      <c r="BT15" s="1073"/>
      <c r="BU15" s="1073"/>
      <c r="BV15" s="1073"/>
      <c r="BW15" s="1696"/>
      <c r="BX15" s="1692"/>
    </row>
    <row customHeight="1" ht="21">
      <c r="A16" s="1870" t="s">
        <v>1520</v>
      </c>
      <c r="B16" s="1078">
        <v>2014</v>
      </c>
      <c r="E16" s="1701" t="s">
        <v>1521</v>
      </c>
      <c r="G16" s="1079" t="s">
        <v>1522</v>
      </c>
      <c r="H16" s="1079" t="s">
        <v>1523</v>
      </c>
      <c r="I16" s="1081" t="s">
        <v>1524</v>
      </c>
      <c r="J16" s="1092" t="s">
        <v>555</v>
      </c>
      <c r="N16" s="1161" t="s">
        <v>1525</v>
      </c>
      <c r="AW16" s="1123" t="s">
        <v>156</v>
      </c>
      <c r="AX16" s="1123" t="s">
        <v>156</v>
      </c>
      <c r="AZ16" s="1123" t="s">
        <v>1450</v>
      </c>
      <c r="BB16" s="1123" t="s">
        <v>1526</v>
      </c>
      <c r="BC16" s="1123" t="s">
        <v>1501</v>
      </c>
      <c r="BE16" s="1123">
        <v>2012</v>
      </c>
      <c r="BH16" s="1071" t="s">
        <v>1455</v>
      </c>
      <c r="BJ16" s="1220" t="s">
        <v>1527</v>
      </c>
      <c r="BL16" s="1220" t="s">
        <v>1527</v>
      </c>
      <c r="BN16" s="1071" t="s">
        <v>1528</v>
      </c>
      <c r="BR16" s="1073"/>
      <c r="BS16" s="1434"/>
      <c r="BT16" s="1073"/>
      <c r="BU16" s="1073"/>
      <c r="BV16" s="1073"/>
      <c r="BW16" s="1696"/>
      <c r="BX16" s="1692"/>
    </row>
    <row customHeight="1" ht="21">
      <c r="A17" s="1077" t="s">
        <v>1529</v>
      </c>
      <c r="B17" s="1078">
        <v>2015</v>
      </c>
      <c r="G17" s="1079" t="s">
        <v>1476</v>
      </c>
      <c r="H17" s="1079" t="s">
        <v>1476</v>
      </c>
      <c r="I17" s="1079" t="s">
        <v>1530</v>
      </c>
      <c r="N17" s="1161" t="s">
        <v>1531</v>
      </c>
      <c r="X17" s="1090"/>
      <c r="AW17" s="1123" t="s">
        <v>1524</v>
      </c>
      <c r="AX17" s="1123" t="s">
        <v>1524</v>
      </c>
      <c r="AZ17" s="1123" t="s">
        <v>1532</v>
      </c>
      <c r="BB17" s="1123" t="s">
        <v>1533</v>
      </c>
      <c r="BC17" s="1123" t="s">
        <v>1385</v>
      </c>
      <c r="BE17" s="1123">
        <v>2013</v>
      </c>
      <c r="BH17" s="1071" t="s">
        <v>1471</v>
      </c>
      <c r="BJ17" s="1220" t="s">
        <v>1534</v>
      </c>
      <c r="BL17" s="1220" t="s">
        <v>1534</v>
      </c>
      <c r="BN17" s="1071" t="s">
        <v>1535</v>
      </c>
      <c r="BR17" s="1070" t="s">
        <v>1326</v>
      </c>
      <c r="BS17" s="1431"/>
      <c r="BU17" s="1070" t="s">
        <v>1536</v>
      </c>
      <c r="BV17" s="1073"/>
      <c r="BW17" s="1692"/>
      <c r="BX17" s="1694" t="s">
        <v>1537</v>
      </c>
      <c r="CA17" s="1070" t="s">
        <v>1538</v>
      </c>
      <c r="CD17" s="1070" t="s">
        <v>1539</v>
      </c>
    </row>
    <row customHeight="1" ht="21">
      <c r="A18" s="1077" t="s">
        <v>1540</v>
      </c>
      <c r="B18" s="1078">
        <v>2016</v>
      </c>
      <c r="E18" s="2005" t="s">
        <v>1541</v>
      </c>
      <c r="I18" s="1079" t="s">
        <v>1542</v>
      </c>
      <c r="N18" s="1161" t="s">
        <v>1543</v>
      </c>
      <c r="X18" s="1090"/>
      <c r="AW18" s="1123" t="s">
        <v>1530</v>
      </c>
      <c r="AX18" s="1123" t="s">
        <v>1530</v>
      </c>
      <c r="BB18" s="1123" t="s">
        <v>1544</v>
      </c>
      <c r="BC18" s="1123" t="s">
        <v>1385</v>
      </c>
      <c r="BE18" s="1123">
        <v>2014</v>
      </c>
      <c r="BH18" s="1071" t="s">
        <v>1485</v>
      </c>
      <c r="BJ18" s="1220" t="s">
        <v>1545</v>
      </c>
      <c r="BL18" s="1220" t="s">
        <v>1545</v>
      </c>
      <c r="BN18" s="1071" t="s">
        <v>1546</v>
      </c>
      <c r="BQ18" s="1435" t="s">
        <v>1356</v>
      </c>
      <c r="BR18" s="1162" t="s">
        <v>1357</v>
      </c>
      <c r="BS18" s="277"/>
      <c r="BT18" s="1435" t="s">
        <v>1547</v>
      </c>
      <c r="BU18" s="1162" t="s">
        <v>1548</v>
      </c>
      <c r="BV18" s="1073"/>
      <c r="BW18" s="1699" t="s">
        <v>1549</v>
      </c>
      <c r="BX18" s="1693" t="s">
        <v>1550</v>
      </c>
      <c r="BZ18" s="1435" t="s">
        <v>1551</v>
      </c>
      <c r="CA18" s="1162" t="s">
        <v>1552</v>
      </c>
      <c r="CC18" s="1435" t="s">
        <v>1553</v>
      </c>
      <c r="CD18" s="1162" t="s">
        <v>1554</v>
      </c>
    </row>
    <row customHeight="1" ht="21">
      <c r="A19" s="1870" t="s">
        <v>1555</v>
      </c>
      <c r="B19" s="1078">
        <v>2017</v>
      </c>
      <c r="E19" s="1077" t="s">
        <v>168</v>
      </c>
      <c r="I19" s="1079" t="s">
        <v>1556</v>
      </c>
      <c r="N19" s="1161" t="s">
        <v>1557</v>
      </c>
      <c r="X19" s="1090"/>
      <c r="AW19" s="1123" t="s">
        <v>1542</v>
      </c>
      <c r="AX19" s="1123" t="s">
        <v>1542</v>
      </c>
      <c r="AZ19" s="1070" t="s">
        <v>1558</v>
      </c>
      <c r="BB19" s="1123" t="s">
        <v>1559</v>
      </c>
      <c r="BC19" s="1123" t="s">
        <v>1385</v>
      </c>
      <c r="BE19" s="1123">
        <v>2015</v>
      </c>
      <c r="BH19" s="1071" t="s">
        <v>1560</v>
      </c>
      <c r="BJ19" s="1220" t="s">
        <v>1561</v>
      </c>
      <c r="BL19" s="1220" t="s">
        <v>1561</v>
      </c>
      <c r="BQ19" s="1284">
        <v>4190064</v>
      </c>
      <c r="BR19" s="1071" t="s">
        <v>1562</v>
      </c>
      <c r="BS19" s="1432"/>
      <c r="BT19" s="1284">
        <v>4189671</v>
      </c>
      <c r="BU19" s="1071" t="s">
        <v>1563</v>
      </c>
      <c r="BV19" s="1073"/>
      <c r="BW19" s="1697">
        <v>4189706</v>
      </c>
      <c r="BX19" s="1695" t="s">
        <v>1564</v>
      </c>
      <c r="BZ19" s="1284">
        <v>4189714</v>
      </c>
      <c r="CA19" s="1071" t="s">
        <v>1565</v>
      </c>
      <c r="CC19" s="1284">
        <v>4189708</v>
      </c>
      <c r="CD19" s="1071" t="s">
        <v>1566</v>
      </c>
    </row>
    <row customHeight="1" ht="21">
      <c r="A20" s="1077" t="s">
        <v>1567</v>
      </c>
      <c r="B20" s="1078">
        <v>2018</v>
      </c>
      <c r="E20" s="1077" t="s">
        <v>1315</v>
      </c>
      <c r="I20" s="1079" t="s">
        <v>1568</v>
      </c>
      <c r="N20" s="1161" t="s">
        <v>1569</v>
      </c>
      <c r="AW20" s="1123" t="s">
        <v>1556</v>
      </c>
      <c r="AX20" s="1123" t="s">
        <v>1556</v>
      </c>
      <c r="AZ20" s="1123" t="s">
        <v>1570</v>
      </c>
      <c r="BB20" s="1123" t="s">
        <v>1571</v>
      </c>
      <c r="BC20" s="1123" t="s">
        <v>1501</v>
      </c>
      <c r="BE20" s="1123">
        <v>2016</v>
      </c>
      <c r="BH20" s="1071" t="s">
        <v>1497</v>
      </c>
      <c r="BJ20" s="1071" t="s">
        <v>1424</v>
      </c>
      <c r="BL20" s="1071" t="s">
        <v>1424</v>
      </c>
      <c r="BQ20" s="1284">
        <v>4190065</v>
      </c>
      <c r="BR20" s="1071" t="s">
        <v>1572</v>
      </c>
      <c r="BS20" s="1432"/>
      <c r="BT20" s="1284">
        <v>4189672</v>
      </c>
      <c r="BU20" s="1071" t="s">
        <v>1573</v>
      </c>
      <c r="BV20" s="1073"/>
      <c r="BW20" s="1697">
        <v>4189705</v>
      </c>
      <c r="BX20" s="1695" t="s">
        <v>1574</v>
      </c>
      <c r="BZ20" s="1284">
        <v>4189713</v>
      </c>
      <c r="CA20" s="1071" t="s">
        <v>1574</v>
      </c>
      <c r="CC20" s="1284">
        <v>4189709</v>
      </c>
      <c r="CD20" s="1071" t="s">
        <v>1575</v>
      </c>
    </row>
    <row customHeight="1" ht="21">
      <c r="A21" s="1077" t="s">
        <v>1576</v>
      </c>
      <c r="B21" s="1078">
        <v>2019</v>
      </c>
      <c r="I21" s="1079" t="s">
        <v>1577</v>
      </c>
      <c r="N21" s="1161" t="s">
        <v>1578</v>
      </c>
      <c r="AW21" s="1123" t="s">
        <v>1568</v>
      </c>
      <c r="AX21" s="1123" t="s">
        <v>1568</v>
      </c>
      <c r="AZ21" s="1123" t="s">
        <v>1579</v>
      </c>
      <c r="BB21" s="1123" t="s">
        <v>1580</v>
      </c>
      <c r="BC21" s="1123" t="s">
        <v>1385</v>
      </c>
      <c r="BE21" s="1123">
        <v>2017</v>
      </c>
      <c r="BH21" s="1071" t="s">
        <v>1504</v>
      </c>
      <c r="BJ21" s="1071" t="s">
        <v>1438</v>
      </c>
      <c r="BL21" s="1071" t="s">
        <v>1438</v>
      </c>
      <c r="BQ21" s="1284">
        <v>4190066</v>
      </c>
      <c r="BR21" s="1071" t="s">
        <v>1581</v>
      </c>
      <c r="BS21" s="1432"/>
      <c r="BT21" s="1284">
        <v>4189673</v>
      </c>
      <c r="BU21" s="1071" t="s">
        <v>1582</v>
      </c>
      <c r="BV21" s="1073"/>
      <c r="BW21" s="1697">
        <v>4189707</v>
      </c>
      <c r="BX21" s="1695" t="s">
        <v>1583</v>
      </c>
      <c r="BZ21" s="1284">
        <v>4189712</v>
      </c>
      <c r="CA21" s="1071" t="s">
        <v>1584</v>
      </c>
      <c r="CC21" s="1284">
        <v>4189710</v>
      </c>
      <c r="CD21" s="1071" t="s">
        <v>1585</v>
      </c>
    </row>
    <row customHeight="1" ht="21">
      <c r="A22" s="1077" t="s">
        <v>1586</v>
      </c>
      <c r="B22" s="1078">
        <v>2020</v>
      </c>
      <c r="N22" s="1161" t="s">
        <v>1587</v>
      </c>
      <c r="AW22" s="1123" t="s">
        <v>1577</v>
      </c>
      <c r="AX22" s="1123" t="s">
        <v>1577</v>
      </c>
      <c r="AZ22" s="1123" t="s">
        <v>1588</v>
      </c>
      <c r="BB22" s="1123" t="s">
        <v>1589</v>
      </c>
      <c r="BC22" s="1123" t="s">
        <v>1385</v>
      </c>
      <c r="BE22" s="1123">
        <v>2018</v>
      </c>
      <c r="BH22" s="1071" t="s">
        <v>1511</v>
      </c>
      <c r="BJ22" s="1071" t="s">
        <v>1455</v>
      </c>
      <c r="BL22" s="1071" t="s">
        <v>1455</v>
      </c>
      <c r="BQ22" s="1284">
        <v>4190067</v>
      </c>
      <c r="BR22" s="1071" t="s">
        <v>1590</v>
      </c>
      <c r="BS22" s="1432"/>
      <c r="BT22" s="1284">
        <v>4189674</v>
      </c>
      <c r="BU22" s="1071" t="s">
        <v>1591</v>
      </c>
      <c r="BV22" s="1073"/>
      <c r="BW22" s="1073"/>
      <c r="CC22" s="1284">
        <v>4189711</v>
      </c>
      <c r="CD22" s="1071" t="s">
        <v>294</v>
      </c>
    </row>
    <row customHeight="1" ht="21">
      <c r="A23" s="1077" t="s">
        <v>1592</v>
      </c>
      <c r="B23" s="1078">
        <v>2021</v>
      </c>
      <c r="AW23" s="1123" t="s">
        <v>1593</v>
      </c>
      <c r="AX23" s="1123" t="s">
        <v>1593</v>
      </c>
      <c r="AZ23" s="1123" t="s">
        <v>1594</v>
      </c>
      <c r="BB23" s="1123" t="s">
        <v>1595</v>
      </c>
      <c r="BC23" s="1123" t="s">
        <v>1292</v>
      </c>
      <c r="BE23" s="1123">
        <v>2019</v>
      </c>
      <c r="BH23" s="1071" t="s">
        <v>1519</v>
      </c>
      <c r="BJ23" s="1071" t="s">
        <v>1471</v>
      </c>
      <c r="BL23" s="1071" t="s">
        <v>1471</v>
      </c>
      <c r="BQ23" s="1284">
        <v>4190068</v>
      </c>
      <c r="BR23" s="1071" t="s">
        <v>1596</v>
      </c>
      <c r="BS23" s="1432"/>
      <c r="BT23" s="1284">
        <v>4189675</v>
      </c>
      <c r="BU23" s="1071" t="s">
        <v>1597</v>
      </c>
      <c r="BV23" s="1073"/>
      <c r="BW23" s="1073"/>
      <c r="CC23" s="1284">
        <v>5110778</v>
      </c>
      <c r="CD23" s="1071" t="s">
        <v>1598</v>
      </c>
    </row>
    <row customHeight="1" ht="21">
      <c r="A24" s="1077" t="s">
        <v>1599</v>
      </c>
      <c r="B24" s="1078">
        <v>2022</v>
      </c>
      <c r="AW24" s="1123" t="s">
        <v>1600</v>
      </c>
      <c r="AX24" s="1123" t="s">
        <v>1600</v>
      </c>
      <c r="AZ24" s="1123" t="s">
        <v>1601</v>
      </c>
      <c r="BB24" s="1123" t="s">
        <v>1602</v>
      </c>
      <c r="BC24" s="1123" t="s">
        <v>1603</v>
      </c>
      <c r="BE24" s="1123">
        <v>2020</v>
      </c>
      <c r="BH24" s="1071" t="s">
        <v>1528</v>
      </c>
      <c r="BJ24" s="1071" t="s">
        <v>1485</v>
      </c>
      <c r="BL24" s="1071" t="s">
        <v>1485</v>
      </c>
      <c r="BQ24" s="1284">
        <v>4190069</v>
      </c>
      <c r="BR24" s="1071" t="s">
        <v>1604</v>
      </c>
      <c r="BS24" s="1432"/>
      <c r="BT24" s="1284">
        <v>4189676</v>
      </c>
      <c r="BU24" s="1071" t="s">
        <v>1605</v>
      </c>
      <c r="BV24" s="1073"/>
      <c r="BW24" s="1073"/>
      <c r="CC24" s="1284">
        <v>25575374</v>
      </c>
      <c r="CD24" s="1071" t="s">
        <v>1606</v>
      </c>
    </row>
    <row customHeight="1" ht="11.25">
      <c r="A25" s="1077" t="s">
        <v>1607</v>
      </c>
      <c r="B25" s="1078">
        <v>2023</v>
      </c>
      <c r="AW25" s="1123" t="s">
        <v>1608</v>
      </c>
      <c r="AX25" s="1123" t="s">
        <v>1608</v>
      </c>
      <c r="AZ25" s="1123" t="s">
        <v>1609</v>
      </c>
      <c r="BB25" s="1123" t="s">
        <v>1610</v>
      </c>
      <c r="BC25" s="1123" t="s">
        <v>1603</v>
      </c>
      <c r="BE25" s="1123">
        <v>2021</v>
      </c>
      <c r="BH25" s="1071" t="s">
        <v>1535</v>
      </c>
      <c r="BJ25" s="1071" t="s">
        <v>1560</v>
      </c>
      <c r="BL25" s="1071" t="s">
        <v>1560</v>
      </c>
      <c r="BQ25" s="1284">
        <v>4190070</v>
      </c>
      <c r="BR25" s="1071" t="s">
        <v>1611</v>
      </c>
      <c r="BS25" s="1432"/>
      <c r="BT25" s="1284">
        <v>4189677</v>
      </c>
      <c r="BU25" s="1071" t="s">
        <v>1612</v>
      </c>
      <c r="BV25" s="1073"/>
      <c r="BW25" s="1073"/>
    </row>
    <row customHeight="1" ht="11.25">
      <c r="A26" s="1077" t="s">
        <v>1613</v>
      </c>
      <c r="B26" s="1078">
        <v>2024</v>
      </c>
      <c r="J26" s="1733" t="s">
        <v>1614</v>
      </c>
      <c r="AX26" s="1123" t="s">
        <v>1615</v>
      </c>
      <c r="AZ26" s="1123" t="s">
        <v>1007</v>
      </c>
      <c r="BB26" s="1123" t="s">
        <v>1616</v>
      </c>
      <c r="BC26" s="1123" t="s">
        <v>1603</v>
      </c>
      <c r="BE26" s="1123">
        <v>2022</v>
      </c>
      <c r="BH26" s="1071" t="s">
        <v>1546</v>
      </c>
      <c r="BJ26" s="1071" t="s">
        <v>1497</v>
      </c>
      <c r="BL26" s="1071" t="s">
        <v>1497</v>
      </c>
      <c r="BQ26" s="1284">
        <v>4190071</v>
      </c>
      <c r="BR26" s="1071" t="s">
        <v>1617</v>
      </c>
      <c r="BS26" s="1432"/>
      <c r="BV26" s="1073"/>
      <c r="BW26" s="1073"/>
    </row>
    <row customHeight="1" ht="11.25">
      <c r="A27" s="1077" t="s">
        <v>1618</v>
      </c>
      <c r="B27" s="1078">
        <v>2025</v>
      </c>
      <c r="J27" s="179" t="s">
        <v>121</v>
      </c>
      <c r="AX27" s="1123" t="s">
        <v>1619</v>
      </c>
      <c r="BB27" s="1123" t="s">
        <v>1620</v>
      </c>
      <c r="BC27" s="1123" t="s">
        <v>1603</v>
      </c>
      <c r="BE27" s="1123">
        <v>2023</v>
      </c>
      <c r="BH27" s="1073" t="s">
        <v>22</v>
      </c>
      <c r="BJ27" s="1071" t="s">
        <v>1504</v>
      </c>
      <c r="BL27" s="1071" t="s">
        <v>1504</v>
      </c>
      <c r="BN27" s="1073" t="s">
        <v>22</v>
      </c>
      <c r="BQ27" s="1284">
        <v>4190072</v>
      </c>
      <c r="BR27" s="1071" t="s">
        <v>1621</v>
      </c>
      <c r="BS27" s="1432"/>
      <c r="BV27" s="1073"/>
      <c r="BW27" s="1073"/>
    </row>
    <row customHeight="1" ht="11.25">
      <c r="A28" s="1077" t="s">
        <v>1622</v>
      </c>
      <c r="D28" s="1104"/>
      <c r="E28" s="1105"/>
      <c r="F28" s="1105"/>
      <c r="H28" s="1106" t="s">
        <v>1623</v>
      </c>
      <c r="AX28" s="1123" t="s">
        <v>1624</v>
      </c>
      <c r="AZ28" s="1070" t="s">
        <v>1625</v>
      </c>
      <c r="BB28" s="1123" t="s">
        <v>1626</v>
      </c>
      <c r="BC28" s="1123" t="s">
        <v>1627</v>
      </c>
      <c r="BE28" s="1123">
        <v>2024</v>
      </c>
      <c r="BH28" s="1073" t="s">
        <v>22</v>
      </c>
      <c r="BJ28" s="1071" t="s">
        <v>1511</v>
      </c>
      <c r="BL28" s="1071" t="s">
        <v>1511</v>
      </c>
      <c r="BN28" s="1073" t="s">
        <v>22</v>
      </c>
      <c r="BQ28" s="1284">
        <v>4190073</v>
      </c>
      <c r="BR28" s="1071" t="s">
        <v>1628</v>
      </c>
      <c r="BS28" s="1432"/>
      <c r="BV28" s="1073"/>
      <c r="BW28" s="1073"/>
    </row>
    <row customHeight="1" ht="11.25">
      <c r="A29" s="1077" t="s">
        <v>1629</v>
      </c>
      <c r="D29" s="1107" t="s">
        <v>1630</v>
      </c>
      <c r="E29" s="1108" t="str">
        <f>IF(TEMPLATE_GROUP="","",INDEX(StartDateList,MATCH(TEMPLATE_GROUP,CodeTemplateList,0),1))</f>
        <v>01.01.2025</v>
      </c>
      <c r="F29" s="1108" t="str">
        <f>IF(TEMPLATE_GROUP="","",INDEX(EndDateList,MATCH(TEMPLATE_GROUP,CodeTemplateList,0),1))</f>
        <v>31.12.2025</v>
      </c>
      <c r="H29" s="1109" t="s">
        <v>1631</v>
      </c>
      <c r="AX29" s="1123" t="s">
        <v>1632</v>
      </c>
      <c r="AZ29" s="1123" t="s">
        <v>1276</v>
      </c>
      <c r="BB29" s="1123" t="s">
        <v>1007</v>
      </c>
      <c r="BC29" s="1094"/>
      <c r="BE29" s="1123">
        <v>2025</v>
      </c>
      <c r="BJ29" s="1071" t="s">
        <v>1519</v>
      </c>
      <c r="BL29" s="1071" t="s">
        <v>1519</v>
      </c>
    </row>
    <row customHeight="1" ht="11.25">
      <c r="A30" s="1077" t="s">
        <v>1633</v>
      </c>
      <c r="D30" s="1110"/>
      <c r="E30" s="1111"/>
      <c r="F30" s="1111"/>
      <c r="AX30" s="1123" t="s">
        <v>1634</v>
      </c>
      <c r="AZ30" s="1123" t="s">
        <v>1304</v>
      </c>
      <c r="BE30" s="1123">
        <v>2026</v>
      </c>
      <c r="BJ30" s="1071" t="s">
        <v>1635</v>
      </c>
      <c r="BL30" s="1071" t="s">
        <v>1635</v>
      </c>
    </row>
    <row customHeight="1" ht="12.75">
      <c r="A31" s="1077" t="s">
        <v>1636</v>
      </c>
      <c r="D31" s="1104"/>
      <c r="E31" s="1105"/>
      <c r="F31" s="1105"/>
      <c r="H31" s="1112"/>
      <c r="AX31" s="1123" t="s">
        <v>1637</v>
      </c>
      <c r="AZ31" s="1123" t="s">
        <v>1638</v>
      </c>
      <c r="BE31" s="1123">
        <v>2027</v>
      </c>
      <c r="BJ31" s="1071" t="s">
        <v>1639</v>
      </c>
      <c r="BL31" s="1071" t="s">
        <v>1639</v>
      </c>
    </row>
    <row customHeight="1" ht="11.25">
      <c r="A32" s="1077" t="s">
        <v>1640</v>
      </c>
      <c r="D32" s="1107" t="s">
        <v>1641</v>
      </c>
      <c r="E32" s="1108" t="str">
        <f>IF(TEMPLATE_GROUP="","",INDEX(StartDateList,MATCH(TEMPLATE_GROUP,CodeTemplateList,0),1))</f>
        <v>01.01.2025</v>
      </c>
      <c r="F32" s="1108" t="str">
        <f>IF(TEMPLATE_GROUP="","",INDEX(EndDateList,MATCH(TEMPLATE_GROUP,CodeTemplateList,0),1))</f>
        <v>31.12.2025</v>
      </c>
      <c r="H32" s="1113" t="s">
        <v>1642</v>
      </c>
      <c r="O32" s="1077" t="s">
        <v>1274</v>
      </c>
      <c r="AX32" s="1123" t="s">
        <v>1643</v>
      </c>
      <c r="AZ32" s="1123" t="s">
        <v>1373</v>
      </c>
      <c r="BE32" s="1123">
        <v>2028</v>
      </c>
      <c r="BJ32" s="1071" t="s">
        <v>1528</v>
      </c>
      <c r="BL32" s="1071" t="s">
        <v>1528</v>
      </c>
    </row>
    <row customHeight="1" ht="11.25">
      <c r="A33" s="1077" t="s">
        <v>1644</v>
      </c>
      <c r="O33" s="1077" t="s">
        <v>1301</v>
      </c>
      <c r="AX33" s="1123" t="s">
        <v>1645</v>
      </c>
      <c r="AZ33" s="1123" t="s">
        <v>1275</v>
      </c>
      <c r="BE33" s="1123">
        <v>2029</v>
      </c>
      <c r="BJ33" s="1071" t="s">
        <v>1535</v>
      </c>
      <c r="BL33" s="1071" t="s">
        <v>1535</v>
      </c>
    </row>
    <row customHeight="1" ht="11.25">
      <c r="A34" s="1077" t="s">
        <v>1646</v>
      </c>
      <c r="O34" s="1077" t="s">
        <v>1337</v>
      </c>
      <c r="AX34" s="1123" t="s">
        <v>1647</v>
      </c>
      <c r="BE34" s="1123">
        <v>2030</v>
      </c>
      <c r="BJ34" s="1071" t="s">
        <v>1546</v>
      </c>
      <c r="BL34" s="1071" t="s">
        <v>1546</v>
      </c>
    </row>
    <row customHeight="1" ht="11.25">
      <c r="A35" s="1077" t="s">
        <v>1648</v>
      </c>
      <c r="O35" s="1077" t="s">
        <v>1371</v>
      </c>
      <c r="AX35" s="1123" t="s">
        <v>1649</v>
      </c>
      <c r="AZ35" s="1070" t="s">
        <v>1650</v>
      </c>
      <c r="BE35" s="1123">
        <v>2031</v>
      </c>
      <c r="BL35" s="1071" t="s">
        <v>1651</v>
      </c>
    </row>
    <row customHeight="1" ht="11.25">
      <c r="A36" s="1870" t="s">
        <v>1652</v>
      </c>
      <c r="D36" s="1114" t="s">
        <v>1653</v>
      </c>
      <c r="E36" s="1115" t="s">
        <v>875</v>
      </c>
      <c r="F36" s="1116" t="str">
        <f>INDEX(E37:E41,MATCH(TEMPLATE_SPHERE,F37:F41,0))</f>
        <v>холодного водоснабжения</v>
      </c>
      <c r="G36" s="1116" t="str">
        <f>INDEX(G37:G41,MATCH(TEMPLATE_SPHERE,F37:F41,0))</f>
        <v>холодное водоснабжение</v>
      </c>
      <c r="O36" s="1077" t="s">
        <v>1395</v>
      </c>
      <c r="AX36" s="1123" t="s">
        <v>1654</v>
      </c>
      <c r="AZ36" s="1123" t="s">
        <v>1275</v>
      </c>
      <c r="BE36" s="1123">
        <v>2032</v>
      </c>
      <c r="BL36" s="1071" t="s">
        <v>1655</v>
      </c>
    </row>
    <row customHeight="1" ht="11.25">
      <c r="A37" s="1077" t="s">
        <v>1656</v>
      </c>
      <c r="E37" s="410" t="s">
        <v>1657</v>
      </c>
      <c r="F37" s="1117" t="s">
        <v>829</v>
      </c>
      <c r="G37" s="410" t="s">
        <v>1658</v>
      </c>
      <c r="O37" s="1077" t="s">
        <v>1414</v>
      </c>
      <c r="AX37" s="1123" t="s">
        <v>1659</v>
      </c>
      <c r="AZ37" s="1123" t="s">
        <v>1303</v>
      </c>
      <c r="BE37" s="1123">
        <v>2033</v>
      </c>
    </row>
    <row customHeight="1" ht="11.25">
      <c r="A38" s="1077" t="s">
        <v>1660</v>
      </c>
      <c r="E38" s="410" t="s">
        <v>1661</v>
      </c>
      <c r="F38" s="1118" t="s">
        <v>875</v>
      </c>
      <c r="G38" s="410" t="s">
        <v>1662</v>
      </c>
      <c r="O38" s="1077" t="s">
        <v>1431</v>
      </c>
      <c r="AX38" s="1123" t="s">
        <v>1663</v>
      </c>
      <c r="AZ38" s="1123" t="s">
        <v>1338</v>
      </c>
      <c r="BE38" s="1123">
        <v>2034</v>
      </c>
      <c r="BH38" s="1070" t="s">
        <v>1664</v>
      </c>
      <c r="BJ38" s="1070" t="s">
        <v>1665</v>
      </c>
      <c r="BL38" s="1070" t="s">
        <v>1666</v>
      </c>
      <c r="BN38" s="1070" t="s">
        <v>1667</v>
      </c>
    </row>
    <row customHeight="1" ht="11.25">
      <c r="A39" s="1077" t="s">
        <v>1668</v>
      </c>
      <c r="E39" s="410" t="s">
        <v>1669</v>
      </c>
      <c r="F39" s="1118" t="s">
        <v>929</v>
      </c>
      <c r="G39" s="410" t="s">
        <v>1670</v>
      </c>
      <c r="O39" s="1077" t="s">
        <v>1446</v>
      </c>
      <c r="AX39" s="1123" t="s">
        <v>1671</v>
      </c>
      <c r="AZ39" s="1123" t="s">
        <v>1372</v>
      </c>
      <c r="BE39" s="1123">
        <v>2035</v>
      </c>
      <c r="BH39" s="1071" t="s">
        <v>1672</v>
      </c>
      <c r="BJ39" s="1220" t="s">
        <v>1672</v>
      </c>
      <c r="BL39" s="1220" t="s">
        <v>1672</v>
      </c>
      <c r="BN39" s="1071" t="s">
        <v>1673</v>
      </c>
    </row>
    <row customHeight="1" ht="11.25">
      <c r="A40" s="1077" t="s">
        <v>1674</v>
      </c>
      <c r="E40" s="410" t="s">
        <v>1675</v>
      </c>
      <c r="F40" s="1118" t="s">
        <v>916</v>
      </c>
      <c r="G40" s="410" t="s">
        <v>1676</v>
      </c>
      <c r="O40" s="1077" t="s">
        <v>1463</v>
      </c>
      <c r="AX40" s="1123" t="s">
        <v>1677</v>
      </c>
      <c r="BE40" s="1123">
        <v>2036</v>
      </c>
      <c r="BH40" s="1071" t="s">
        <v>1678</v>
      </c>
      <c r="BJ40" s="1220" t="s">
        <v>1082</v>
      </c>
      <c r="BL40" s="1220" t="s">
        <v>1082</v>
      </c>
      <c r="BN40" s="1071" t="s">
        <v>1116</v>
      </c>
    </row>
    <row customHeight="1" ht="11.25">
      <c r="A41" s="1077" t="s">
        <v>1679</v>
      </c>
      <c r="E41" s="410" t="s">
        <v>1680</v>
      </c>
      <c r="F41" s="1118" t="s">
        <v>1681</v>
      </c>
      <c r="G41" s="410" t="s">
        <v>1680</v>
      </c>
      <c r="O41" s="1077" t="s">
        <v>1007</v>
      </c>
      <c r="AX41" s="1123" t="s">
        <v>1682</v>
      </c>
      <c r="AZ41" s="1070" t="s">
        <v>1683</v>
      </c>
      <c r="BE41" s="1123">
        <v>2037</v>
      </c>
      <c r="BH41" s="1071" t="s">
        <v>1684</v>
      </c>
      <c r="BJ41" s="1220" t="s">
        <v>1078</v>
      </c>
      <c r="BL41" s="1220" t="s">
        <v>1078</v>
      </c>
      <c r="BN41" s="1071" t="s">
        <v>1103</v>
      </c>
    </row>
    <row customHeight="1" ht="11.25">
      <c r="A42" s="1077" t="s">
        <v>1685</v>
      </c>
      <c r="AX42" s="1123" t="s">
        <v>1686</v>
      </c>
      <c r="AZ42" s="1123" t="s">
        <v>1274</v>
      </c>
      <c r="BE42" s="1123">
        <v>2038</v>
      </c>
      <c r="BH42" s="1071" t="s">
        <v>1100</v>
      </c>
      <c r="BJ42" s="1220" t="s">
        <v>1080</v>
      </c>
      <c r="BL42" s="1220" t="s">
        <v>1080</v>
      </c>
      <c r="BN42" s="1071" t="s">
        <v>1687</v>
      </c>
    </row>
    <row customHeight="1" ht="11.25">
      <c r="A43" s="1077" t="s">
        <v>1688</v>
      </c>
      <c r="AX43" s="1123" t="s">
        <v>1689</v>
      </c>
      <c r="AZ43" s="1123" t="s">
        <v>1301</v>
      </c>
      <c r="BE43" s="1123">
        <v>2039</v>
      </c>
      <c r="BH43" s="1071" t="s">
        <v>1690</v>
      </c>
      <c r="BJ43" s="1220" t="s">
        <v>1684</v>
      </c>
      <c r="BL43" s="1220" t="s">
        <v>1684</v>
      </c>
      <c r="BN43" s="1071" t="s">
        <v>1691</v>
      </c>
    </row>
    <row customHeight="1" ht="11.25">
      <c r="A44" s="1077" t="s">
        <v>1692</v>
      </c>
      <c r="G44" s="1097">
        <f>YEAR(TODAY())</f>
        <v>2026</v>
      </c>
      <c r="I44" s="802" t="s">
        <v>1693</v>
      </c>
      <c r="J44" s="1092" t="s">
        <v>1694</v>
      </c>
      <c r="K44" s="1092" t="s">
        <v>1695</v>
      </c>
      <c r="AX44" s="1123" t="s">
        <v>1696</v>
      </c>
      <c r="AZ44" s="1123" t="s">
        <v>1337</v>
      </c>
      <c r="BE44" s="1123">
        <v>2040</v>
      </c>
      <c r="BH44" s="1071" t="s">
        <v>1697</v>
      </c>
      <c r="BJ44" s="1220" t="s">
        <v>1100</v>
      </c>
      <c r="BL44" s="1220" t="s">
        <v>1100</v>
      </c>
      <c r="BN44" s="1071" t="s">
        <v>1698</v>
      </c>
    </row>
    <row customHeight="1" ht="11.25">
      <c r="A45" s="1077" t="s">
        <v>1699</v>
      </c>
      <c r="D45" s="1114" t="s">
        <v>1700</v>
      </c>
      <c r="E45" s="1115" t="s">
        <v>1701</v>
      </c>
      <c r="F45" s="800" t="s">
        <v>1702</v>
      </c>
      <c r="G45" s="799" t="s">
        <v>1703</v>
      </c>
      <c r="H45" s="802" t="s">
        <v>1704</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1705</v>
      </c>
      <c r="AZ45" s="1123" t="s">
        <v>1371</v>
      </c>
      <c r="BE45" s="1123">
        <v>2041</v>
      </c>
      <c r="BH45" s="1071" t="s">
        <v>1706</v>
      </c>
      <c r="BJ45" s="1220" t="s">
        <v>1094</v>
      </c>
      <c r="BL45" s="1220" t="s">
        <v>1094</v>
      </c>
      <c r="BN45" s="1071" t="s">
        <v>1707</v>
      </c>
    </row>
    <row customHeight="1" ht="11.25">
      <c r="A46" s="1077" t="s">
        <v>1708</v>
      </c>
      <c r="E46" s="410" t="s">
        <v>27</v>
      </c>
      <c r="F46" s="1117" t="s">
        <v>1709</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3" t="s">
        <v>1710</v>
      </c>
      <c r="AZ46" s="1123" t="s">
        <v>1395</v>
      </c>
      <c r="BE46" s="1123">
        <v>2042</v>
      </c>
      <c r="BH46" s="1071" t="s">
        <v>1103</v>
      </c>
      <c r="BJ46" s="1220" t="s">
        <v>1084</v>
      </c>
      <c r="BL46" s="1220" t="s">
        <v>1084</v>
      </c>
      <c r="BN46" s="1071" t="s">
        <v>1711</v>
      </c>
    </row>
    <row customHeight="1" ht="11.25">
      <c r="A47" s="1077" t="s">
        <v>1712</v>
      </c>
      <c r="E47" s="410" t="s">
        <v>33</v>
      </c>
      <c r="F47" s="1118" t="s">
        <v>1713</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3" t="s">
        <v>1714</v>
      </c>
      <c r="AZ47" s="1123" t="s">
        <v>1414</v>
      </c>
      <c r="BE47" s="1123">
        <v>2043</v>
      </c>
      <c r="BH47" s="1071" t="s">
        <v>1687</v>
      </c>
      <c r="BJ47" s="1220" t="s">
        <v>1086</v>
      </c>
      <c r="BL47" s="1220" t="s">
        <v>1086</v>
      </c>
      <c r="BN47" s="1071" t="s">
        <v>1715</v>
      </c>
    </row>
    <row customHeight="1" ht="11.25">
      <c r="A48" s="1077" t="s">
        <v>1716</v>
      </c>
      <c r="E48" s="410" t="s">
        <v>1717</v>
      </c>
      <c r="F48" s="1118" t="s">
        <v>1701</v>
      </c>
      <c r="G48" s="1119" t="str">
        <f>_xlfn.IFERROR(IF(f_year="","01.01."&amp;CURRENT_YEAR,"01.01."&amp;f_year),"01.01."&amp;CURRENT_YEAR)</f>
        <v>01.01.2025</v>
      </c>
      <c r="H48" s="1119" t="str">
        <f>_xlfn.IFERROR(IF(f_year="","31.12."&amp;CURRENT_YEAR,"31.12."&amp;f_year),"31.12."&amp;CURRENT_YEAR)</f>
        <v>31.12.2025</v>
      </c>
      <c r="I48" s="1744">
        <f>IF(f_year="",TRUE,FALSE)</f>
        <v>0</v>
      </c>
      <c r="J48" s="1747" t="s">
        <v>1718</v>
      </c>
      <c r="K48" s="1748"/>
      <c r="AX48" s="1123" t="s">
        <v>1719</v>
      </c>
      <c r="AZ48" s="1123" t="s">
        <v>1431</v>
      </c>
      <c r="BE48" s="1123">
        <v>2044</v>
      </c>
      <c r="BH48" s="1071" t="s">
        <v>1691</v>
      </c>
      <c r="BJ48" s="1220" t="s">
        <v>1088</v>
      </c>
      <c r="BL48" s="1220" t="s">
        <v>1088</v>
      </c>
      <c r="BN48" s="1071" t="s">
        <v>1720</v>
      </c>
    </row>
    <row customHeight="1" ht="11.25">
      <c r="A49" s="1077" t="s">
        <v>1721</v>
      </c>
      <c r="E49" s="410" t="s">
        <v>1722</v>
      </c>
      <c r="F49" s="1118" t="s">
        <v>1723</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3" t="s">
        <v>1724</v>
      </c>
      <c r="AZ49" s="1123" t="s">
        <v>1446</v>
      </c>
      <c r="BE49" s="1123">
        <v>2045</v>
      </c>
      <c r="BH49" s="1071" t="s">
        <v>1104</v>
      </c>
      <c r="BJ49" s="1220" t="s">
        <v>1090</v>
      </c>
      <c r="BL49" s="1220" t="s">
        <v>1090</v>
      </c>
    </row>
    <row customHeight="1" ht="11.25">
      <c r="A50" s="1077" t="s">
        <v>1725</v>
      </c>
      <c r="E50" s="410" t="s">
        <v>1726</v>
      </c>
      <c r="F50" s="1118" t="s">
        <v>1074</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3" t="s">
        <v>1727</v>
      </c>
      <c r="AZ50" s="1123" t="s">
        <v>1463</v>
      </c>
      <c r="BE50" s="1123">
        <v>2046</v>
      </c>
      <c r="BH50" s="1071" t="s">
        <v>1698</v>
      </c>
      <c r="BJ50" s="1220" t="s">
        <v>1092</v>
      </c>
      <c r="BL50" s="1220" t="s">
        <v>1092</v>
      </c>
    </row>
    <row customHeight="1" ht="11.25">
      <c r="A51" s="1077" t="s">
        <v>1728</v>
      </c>
      <c r="E51" s="410" t="s">
        <v>1729</v>
      </c>
      <c r="F51" s="1118" t="s">
        <v>1730</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1731</v>
      </c>
      <c r="AZ51" s="1123" t="s">
        <v>1007</v>
      </c>
      <c r="BE51" s="1123">
        <v>2047</v>
      </c>
      <c r="BH51" s="1071" t="s">
        <v>1707</v>
      </c>
      <c r="BJ51" s="1220" t="s">
        <v>1732</v>
      </c>
      <c r="BL51" s="1220" t="s">
        <v>1732</v>
      </c>
    </row>
    <row customHeight="1" ht="11.25">
      <c r="A52" s="1077" t="s">
        <v>16</v>
      </c>
      <c r="E52" s="410" t="s">
        <v>1733</v>
      </c>
      <c r="F52" s="1118" t="s">
        <v>1734</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3" t="s">
        <v>1735</v>
      </c>
      <c r="AZ52" s="1123" t="s">
        <v>1275</v>
      </c>
      <c r="BE52" s="1123">
        <v>2048</v>
      </c>
      <c r="BH52" s="1071" t="s">
        <v>1711</v>
      </c>
      <c r="BJ52" s="1220" t="s">
        <v>1103</v>
      </c>
      <c r="BL52" s="1220" t="s">
        <v>1103</v>
      </c>
    </row>
    <row customHeight="1" ht="11.25">
      <c r="A53" s="1077" t="s">
        <v>1736</v>
      </c>
      <c r="E53" s="410" t="s">
        <v>1737</v>
      </c>
      <c r="F53" s="1118" t="s">
        <v>1737</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1738</v>
      </c>
      <c r="K53" s="1748"/>
      <c r="AX53" s="1123" t="s">
        <v>1739</v>
      </c>
      <c r="BE53" s="1123">
        <v>2049</v>
      </c>
      <c r="BH53" s="1071" t="s">
        <v>1715</v>
      </c>
      <c r="BJ53" s="1220" t="s">
        <v>1687</v>
      </c>
      <c r="BL53" s="1220" t="s">
        <v>1687</v>
      </c>
    </row>
    <row customHeight="1" ht="11.25">
      <c r="A54" s="1077" t="s">
        <v>1740</v>
      </c>
      <c r="AX54" s="1123" t="s">
        <v>1741</v>
      </c>
      <c r="AZ54" s="1070" t="s">
        <v>1742</v>
      </c>
      <c r="BE54" s="1123">
        <v>2050</v>
      </c>
      <c r="BH54" s="1071" t="s">
        <v>1720</v>
      </c>
      <c r="BJ54" s="1220" t="s">
        <v>1691</v>
      </c>
      <c r="BL54" s="1220" t="s">
        <v>1691</v>
      </c>
    </row>
    <row customHeight="1" ht="11.25">
      <c r="A55" s="1077" t="s">
        <v>1743</v>
      </c>
      <c r="AX55" s="1123" t="s">
        <v>1744</v>
      </c>
      <c r="AZ55" s="1123" t="s">
        <v>1277</v>
      </c>
      <c r="BE55" s="1123">
        <v>2051</v>
      </c>
      <c r="BH55" s="1073" t="s">
        <v>22</v>
      </c>
      <c r="BJ55" s="1220" t="s">
        <v>1104</v>
      </c>
      <c r="BL55" s="1220" t="s">
        <v>1104</v>
      </c>
    </row>
    <row customHeight="1" ht="11.25">
      <c r="A56" s="1077" t="s">
        <v>1745</v>
      </c>
      <c r="D56" s="1121" t="s">
        <v>1746</v>
      </c>
      <c r="E56" s="1098" t="s">
        <v>110</v>
      </c>
      <c r="F56" s="1077" t="s">
        <v>1747</v>
      </c>
      <c r="AX56" s="1123" t="s">
        <v>1748</v>
      </c>
      <c r="AZ56" s="1123" t="s">
        <v>1305</v>
      </c>
      <c r="BE56" s="1123">
        <v>2052</v>
      </c>
      <c r="BH56" s="1073" t="s">
        <v>22</v>
      </c>
      <c r="BJ56" s="1220" t="s">
        <v>1698</v>
      </c>
      <c r="BL56" s="1220" t="s">
        <v>1698</v>
      </c>
    </row>
    <row customHeight="1" ht="11.25">
      <c r="A57" s="1077" t="s">
        <v>1749</v>
      </c>
      <c r="D57" s="1121" t="s">
        <v>1750</v>
      </c>
      <c r="E57" s="1098" t="s">
        <v>1739</v>
      </c>
      <c r="F57" s="1077" t="s">
        <v>1747</v>
      </c>
      <c r="AX57" s="1123" t="s">
        <v>1751</v>
      </c>
      <c r="AZ57" s="1123" t="s">
        <v>1340</v>
      </c>
      <c r="BE57" s="1123">
        <v>2053</v>
      </c>
      <c r="BJ57" s="1220" t="s">
        <v>1707</v>
      </c>
      <c r="BL57" s="1220" t="s">
        <v>1707</v>
      </c>
    </row>
    <row customHeight="1" ht="11.25">
      <c r="A58" s="1077" t="s">
        <v>1752</v>
      </c>
      <c r="D58" s="1121" t="s">
        <v>1753</v>
      </c>
      <c r="E58" s="1098" t="s">
        <v>1754</v>
      </c>
      <c r="F58" s="1077" t="s">
        <v>1747</v>
      </c>
      <c r="AX58" s="1123" t="s">
        <v>1755</v>
      </c>
      <c r="BE58" s="1123">
        <v>2054</v>
      </c>
      <c r="BJ58" s="1220" t="s">
        <v>1711</v>
      </c>
      <c r="BL58" s="1220" t="s">
        <v>1711</v>
      </c>
    </row>
    <row customHeight="1" ht="11.25">
      <c r="A59" s="1077" t="s">
        <v>1756</v>
      </c>
      <c r="D59" s="1121" t="s">
        <v>134</v>
      </c>
      <c r="E59" s="1098" t="s">
        <v>1643</v>
      </c>
      <c r="F59" s="1077" t="s">
        <v>1757</v>
      </c>
      <c r="AX59" s="1123" t="s">
        <v>1758</v>
      </c>
      <c r="AZ59" s="1070" t="s">
        <v>1759</v>
      </c>
      <c r="BE59" s="1123">
        <v>2055</v>
      </c>
      <c r="BJ59" s="1220" t="s">
        <v>1715</v>
      </c>
      <c r="BL59" s="1220" t="s">
        <v>1715</v>
      </c>
    </row>
    <row customHeight="1" ht="11.25">
      <c r="A60" s="1077" t="s">
        <v>1760</v>
      </c>
      <c r="D60" s="1121" t="s">
        <v>1761</v>
      </c>
      <c r="E60" s="1098" t="s">
        <v>1643</v>
      </c>
      <c r="F60" s="1077" t="s">
        <v>1757</v>
      </c>
      <c r="AX60" s="1123" t="s">
        <v>1762</v>
      </c>
      <c r="AZ60" s="1123" t="s">
        <v>1278</v>
      </c>
      <c r="BE60" s="1123">
        <v>2056</v>
      </c>
      <c r="BJ60" s="1220" t="s">
        <v>1720</v>
      </c>
      <c r="BL60" s="1220" t="s">
        <v>1720</v>
      </c>
    </row>
    <row customHeight="1" ht="11.25">
      <c r="A61" s="1077" t="s">
        <v>1763</v>
      </c>
      <c r="D61" s="1121" t="s">
        <v>1764</v>
      </c>
      <c r="E61" s="1098" t="s">
        <v>1643</v>
      </c>
      <c r="F61" s="1077" t="s">
        <v>1757</v>
      </c>
      <c r="AX61" s="1123" t="s">
        <v>1765</v>
      </c>
      <c r="AZ61" s="1123" t="s">
        <v>1306</v>
      </c>
      <c r="BE61" s="1123">
        <v>2057</v>
      </c>
      <c r="BL61" s="1220" t="s">
        <v>1096</v>
      </c>
    </row>
    <row customHeight="1" ht="11.25">
      <c r="A62" s="1077" t="s">
        <v>1766</v>
      </c>
      <c r="D62" s="1121" t="s">
        <v>133</v>
      </c>
      <c r="E62" s="1098">
        <v>30</v>
      </c>
      <c r="F62" s="1077" t="s">
        <v>1757</v>
      </c>
      <c r="AZ62" s="1123" t="s">
        <v>1341</v>
      </c>
      <c r="BE62" s="1123">
        <v>2058</v>
      </c>
      <c r="BL62" s="1220" t="s">
        <v>1098</v>
      </c>
    </row>
    <row customHeight="1" ht="11.25">
      <c r="A63" s="1077" t="s">
        <v>1767</v>
      </c>
      <c r="D63" s="1121" t="s">
        <v>1768</v>
      </c>
      <c r="E63" s="1098">
        <v>30</v>
      </c>
      <c r="F63" s="1077" t="s">
        <v>1757</v>
      </c>
      <c r="AZ63" s="1123" t="s">
        <v>1374</v>
      </c>
      <c r="BE63" s="1123">
        <v>2059</v>
      </c>
    </row>
    <row customHeight="1" ht="11.25">
      <c r="A64" s="1077" t="s">
        <v>1769</v>
      </c>
      <c r="D64" s="1121" t="s">
        <v>1770</v>
      </c>
      <c r="E64" s="1098">
        <v>30</v>
      </c>
      <c r="F64" s="1077" t="s">
        <v>1757</v>
      </c>
      <c r="AZ64" s="1123" t="s">
        <v>1396</v>
      </c>
      <c r="BE64" s="1123">
        <v>2060</v>
      </c>
    </row>
    <row customHeight="1" ht="11.25">
      <c r="A65" s="1077" t="s">
        <v>1771</v>
      </c>
      <c r="D65" s="1077"/>
      <c r="BE65" s="1123">
        <v>2061</v>
      </c>
    </row>
    <row customHeight="1" ht="11.25">
      <c r="A66" s="1077" t="s">
        <v>1772</v>
      </c>
      <c r="AZ66" s="1070" t="s">
        <v>1773</v>
      </c>
      <c r="BE66" s="1123">
        <v>2062</v>
      </c>
    </row>
    <row customHeight="1" ht="11.25">
      <c r="A67" s="1077" t="s">
        <v>1774</v>
      </c>
      <c r="AZ67" s="1123" t="s">
        <v>1279</v>
      </c>
      <c r="BE67" s="1123">
        <v>2063</v>
      </c>
    </row>
    <row customHeight="1" ht="11.25">
      <c r="A68" s="1077" t="s">
        <v>1775</v>
      </c>
      <c r="AZ68" s="1123" t="s">
        <v>1307</v>
      </c>
      <c r="BE68" s="1123">
        <v>2064</v>
      </c>
      <c r="BH68" s="1070" t="s">
        <v>1776</v>
      </c>
      <c r="BJ68" s="1070" t="s">
        <v>1777</v>
      </c>
      <c r="BL68" s="1070" t="s">
        <v>1778</v>
      </c>
      <c r="BN68" s="1070" t="s">
        <v>1779</v>
      </c>
    </row>
    <row customHeight="1" ht="11.25">
      <c r="A69" s="1077" t="s">
        <v>1780</v>
      </c>
      <c r="AZ69" s="1123" t="s">
        <v>1342</v>
      </c>
      <c r="BE69" s="1123">
        <v>2065</v>
      </c>
      <c r="BH69" s="1071" t="s">
        <v>1781</v>
      </c>
      <c r="BI69" s="1120" t="s">
        <v>99</v>
      </c>
      <c r="BJ69" s="1071" t="s">
        <v>1782</v>
      </c>
      <c r="BK69" s="1120" t="s">
        <v>99</v>
      </c>
      <c r="BL69" s="1071" t="s">
        <v>1783</v>
      </c>
      <c r="BM69" s="1073" t="s">
        <v>99</v>
      </c>
      <c r="BN69" s="1071" t="s">
        <v>1784</v>
      </c>
    </row>
    <row customHeight="1" ht="11.25">
      <c r="A70" s="1077" t="s">
        <v>1785</v>
      </c>
      <c r="AZ70" s="1123" t="s">
        <v>1375</v>
      </c>
      <c r="BE70" s="1123">
        <v>2066</v>
      </c>
      <c r="BH70" s="1071" t="s">
        <v>1786</v>
      </c>
      <c r="BJ70" s="1071" t="s">
        <v>1787</v>
      </c>
      <c r="BL70" s="1071" t="s">
        <v>1788</v>
      </c>
      <c r="BN70" s="1071" t="s">
        <v>1789</v>
      </c>
    </row>
    <row customHeight="1" ht="11.25">
      <c r="A71" s="1077" t="s">
        <v>1790</v>
      </c>
      <c r="AZ71" s="1123" t="s">
        <v>1377</v>
      </c>
      <c r="BE71" s="1123">
        <v>2067</v>
      </c>
      <c r="BH71" s="1071" t="s">
        <v>1791</v>
      </c>
      <c r="BI71" s="1120" t="s">
        <v>90</v>
      </c>
      <c r="BJ71" s="1071" t="s">
        <v>1792</v>
      </c>
      <c r="BK71" s="1120" t="s">
        <v>90</v>
      </c>
      <c r="BL71" s="1071" t="s">
        <v>1793</v>
      </c>
      <c r="BM71" s="1073" t="s">
        <v>90</v>
      </c>
      <c r="BN71" s="1071" t="s">
        <v>1794</v>
      </c>
    </row>
    <row customHeight="1" ht="11.25">
      <c r="A72" s="1077" t="s">
        <v>1795</v>
      </c>
      <c r="AZ72" s="1123" t="s">
        <v>19</v>
      </c>
      <c r="BE72" s="1123">
        <v>2068</v>
      </c>
      <c r="BH72" s="1071" t="s">
        <v>1796</v>
      </c>
      <c r="BJ72" s="1071" t="s">
        <v>1796</v>
      </c>
      <c r="BL72" s="1071" t="s">
        <v>1796</v>
      </c>
      <c r="BN72" s="1071" t="s">
        <v>1797</v>
      </c>
    </row>
    <row customHeight="1" ht="11.25">
      <c r="A73" s="1077" t="s">
        <v>1798</v>
      </c>
      <c r="BE73" s="1123">
        <v>2069</v>
      </c>
      <c r="BH73" s="1071" t="s">
        <v>1799</v>
      </c>
      <c r="BI73" s="1120" t="s">
        <v>110</v>
      </c>
      <c r="BJ73" s="1071" t="s">
        <v>1800</v>
      </c>
      <c r="BK73" s="1120" t="s">
        <v>110</v>
      </c>
      <c r="BL73" s="1071" t="s">
        <v>1801</v>
      </c>
      <c r="BM73" s="1073" t="s">
        <v>110</v>
      </c>
      <c r="BN73" s="1071" t="s">
        <v>1802</v>
      </c>
    </row>
    <row customHeight="1" ht="11.25">
      <c r="A74" s="1077" t="s">
        <v>1803</v>
      </c>
      <c r="BE74" s="1123">
        <v>2070</v>
      </c>
      <c r="BH74" s="1071" t="s">
        <v>1804</v>
      </c>
      <c r="BJ74" s="1071" t="s">
        <v>1805</v>
      </c>
      <c r="BL74" s="1071" t="s">
        <v>1806</v>
      </c>
      <c r="BN74" s="1071" t="s">
        <v>1807</v>
      </c>
    </row>
    <row customHeight="1" ht="11.25">
      <c r="A75" s="1077" t="s">
        <v>1808</v>
      </c>
      <c r="AZ75" s="1070" t="s">
        <v>1809</v>
      </c>
      <c r="BH75" s="1071" t="s">
        <v>1810</v>
      </c>
      <c r="BJ75" s="1071" t="s">
        <v>1810</v>
      </c>
      <c r="BL75" s="1071" t="s">
        <v>1810</v>
      </c>
    </row>
    <row customHeight="1" ht="11.25">
      <c r="A76" s="1077" t="s">
        <v>1811</v>
      </c>
      <c r="AZ76" s="1123" t="s">
        <v>1288</v>
      </c>
      <c r="BH76" s="1071" t="s">
        <v>1812</v>
      </c>
      <c r="BJ76" s="1071" t="s">
        <v>1813</v>
      </c>
      <c r="BL76" s="1071" t="s">
        <v>1814</v>
      </c>
    </row>
    <row customHeight="1" ht="11.25">
      <c r="A77" s="1077" t="s">
        <v>1815</v>
      </c>
      <c r="AZ77" s="1123" t="s">
        <v>1317</v>
      </c>
    </row>
    <row customHeight="1" ht="11.25">
      <c r="A78" s="1077" t="s">
        <v>1816</v>
      </c>
      <c r="AZ78" s="1123" t="s">
        <v>1349</v>
      </c>
    </row>
    <row customHeight="1" ht="11.25">
      <c r="A79" s="1077" t="s">
        <v>1817</v>
      </c>
      <c r="AZ79" s="1123" t="s">
        <v>1381</v>
      </c>
      <c r="BH79" s="1070" t="s">
        <v>1818</v>
      </c>
      <c r="BJ79" s="1070" t="s">
        <v>1819</v>
      </c>
      <c r="BL79" s="1070" t="s">
        <v>1820</v>
      </c>
    </row>
    <row customHeight="1" ht="11.25">
      <c r="A80" s="1077" t="s">
        <v>1821</v>
      </c>
      <c r="AZ80" s="1123" t="s">
        <v>1401</v>
      </c>
      <c r="BH80" s="1071" t="s">
        <v>1822</v>
      </c>
      <c r="BJ80" s="1071" t="s">
        <v>1823</v>
      </c>
      <c r="BL80" s="1071" t="s">
        <v>1824</v>
      </c>
    </row>
    <row customHeight="1" ht="11.25">
      <c r="A81" s="1077" t="s">
        <v>1825</v>
      </c>
      <c r="AZ81" s="1123" t="s">
        <v>1418</v>
      </c>
      <c r="BH81" s="1071" t="s">
        <v>1826</v>
      </c>
      <c r="BJ81" s="1071" t="s">
        <v>1827</v>
      </c>
      <c r="BL81" s="1071" t="s">
        <v>1828</v>
      </c>
    </row>
    <row customHeight="1" ht="11.25">
      <c r="A82" s="1077" t="s">
        <v>1829</v>
      </c>
      <c r="AZ82" s="1123" t="s">
        <v>1433</v>
      </c>
      <c r="BH82" s="1071" t="s">
        <v>1830</v>
      </c>
      <c r="BJ82" s="1071" t="s">
        <v>1831</v>
      </c>
      <c r="BL82" s="1071" t="s">
        <v>1832</v>
      </c>
    </row>
    <row customHeight="1" ht="11.25">
      <c r="A83" s="1077" t="s">
        <v>1833</v>
      </c>
      <c r="BH83" s="1071" t="s">
        <v>1834</v>
      </c>
      <c r="BJ83" s="1071" t="s">
        <v>1835</v>
      </c>
      <c r="BL83" s="1071" t="s">
        <v>1836</v>
      </c>
    </row>
    <row customHeight="1" ht="11.25">
      <c r="A84" s="1077" t="s">
        <v>1837</v>
      </c>
      <c r="AZ84" s="1070" t="s">
        <v>1838</v>
      </c>
    </row>
    <row customHeight="1" ht="11.25">
      <c r="A85" s="1870" t="s">
        <v>1839</v>
      </c>
      <c r="AZ85" s="1123" t="s">
        <v>1840</v>
      </c>
    </row>
    <row customHeight="1" ht="11.25">
      <c r="A86" s="1077" t="s">
        <v>1841</v>
      </c>
      <c r="AZ86" s="1123" t="s">
        <v>1842</v>
      </c>
      <c r="BH86" s="1070" t="s">
        <v>1843</v>
      </c>
      <c r="BJ86" s="1070" t="s">
        <v>1844</v>
      </c>
      <c r="BL86" s="1070" t="s">
        <v>1845</v>
      </c>
    </row>
    <row customHeight="1" ht="11.25">
      <c r="A87" s="1077" t="s">
        <v>1846</v>
      </c>
      <c r="AZ87" s="1123" t="s">
        <v>1847</v>
      </c>
      <c r="BH87" s="1071" t="s">
        <v>1848</v>
      </c>
      <c r="BJ87" s="1071" t="s">
        <v>1849</v>
      </c>
      <c r="BL87" s="1071" t="s">
        <v>1850</v>
      </c>
    </row>
    <row customHeight="1" ht="11.25">
      <c r="A88" s="1077" t="s">
        <v>1851</v>
      </c>
      <c r="AZ88" s="1609"/>
      <c r="BH88" s="1071" t="s">
        <v>1852</v>
      </c>
      <c r="BJ88" s="1071" t="s">
        <v>1853</v>
      </c>
      <c r="BL88" s="1071" t="s">
        <v>1854</v>
      </c>
    </row>
    <row customHeight="1" ht="11.25">
      <c r="A89" s="1077" t="s">
        <v>1855</v>
      </c>
      <c r="AZ89" s="1070" t="s">
        <v>1856</v>
      </c>
    </row>
    <row customHeight="1" ht="11.25">
      <c r="A90" s="1077" t="s">
        <v>1857</v>
      </c>
      <c r="AZ90" s="1123" t="s">
        <v>1074</v>
      </c>
    </row>
    <row customHeight="1" ht="11.25">
      <c r="A91" s="1077" t="s">
        <v>1858</v>
      </c>
      <c r="AZ91" s="1123" t="s">
        <v>1110</v>
      </c>
      <c r="BH91" s="1070" t="s">
        <v>1859</v>
      </c>
      <c r="BJ91" s="1070" t="s">
        <v>1860</v>
      </c>
      <c r="BL91" s="1070" t="s">
        <v>1861</v>
      </c>
    </row>
    <row customHeight="1" ht="11.25">
      <c r="AZ92" s="1123" t="s">
        <v>1862</v>
      </c>
      <c r="BH92" s="1071" t="s">
        <v>1863</v>
      </c>
      <c r="BJ92" s="1071" t="s">
        <v>1864</v>
      </c>
      <c r="BL92" s="1071" t="s">
        <v>1865</v>
      </c>
    </row>
    <row customHeight="1" ht="11.25">
      <c r="AZ93" s="1123" t="s">
        <v>1866</v>
      </c>
      <c r="BH93" s="1071" t="s">
        <v>1867</v>
      </c>
      <c r="BJ93" s="1071" t="s">
        <v>1868</v>
      </c>
      <c r="BL93" s="1071" t="s">
        <v>1869</v>
      </c>
    </row>
    <row customHeight="1" ht="11.25">
      <c r="AZ94" s="1123" t="s">
        <v>1870</v>
      </c>
    </row>
    <row r="96" customHeight="1" ht="11.25">
      <c r="AZ96" s="1070" t="s">
        <v>1871</v>
      </c>
      <c r="BH96" s="1070" t="s">
        <v>1872</v>
      </c>
      <c r="BJ96" s="1070" t="s">
        <v>1873</v>
      </c>
      <c r="BL96" s="1070" t="s">
        <v>1874</v>
      </c>
      <c r="BN96" s="1070" t="s">
        <v>1875</v>
      </c>
    </row>
    <row customHeight="1" ht="11.25">
      <c r="AZ97" s="1901" t="s">
        <v>1876</v>
      </c>
      <c r="BA97" s="1902" t="s">
        <v>1877</v>
      </c>
      <c r="BH97" s="1071" t="s">
        <v>1878</v>
      </c>
      <c r="BJ97" s="1071" t="s">
        <v>1879</v>
      </c>
      <c r="BL97" s="1071" t="s">
        <v>1880</v>
      </c>
      <c r="BN97" s="1071" t="s">
        <v>1881</v>
      </c>
    </row>
    <row customHeight="1" ht="11.25">
      <c r="AZ98" s="1901" t="s">
        <v>1882</v>
      </c>
      <c r="BA98" s="1902" t="s">
        <v>1883</v>
      </c>
      <c r="BH98" s="1071" t="s">
        <v>1884</v>
      </c>
      <c r="BJ98" s="1071" t="s">
        <v>1885</v>
      </c>
      <c r="BL98" s="1071" t="s">
        <v>1886</v>
      </c>
      <c r="BN98" s="1071" t="s">
        <v>1887</v>
      </c>
    </row>
    <row customHeight="1" ht="22.5">
      <c r="AZ99" s="1901" t="s">
        <v>1888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1889</v>
      </c>
      <c r="BJ99" s="1071" t="s">
        <v>1890</v>
      </c>
      <c r="BL99" s="1071" t="s">
        <v>1891</v>
      </c>
      <c r="BN99" s="1071" t="s">
        <v>1892</v>
      </c>
    </row>
    <row customHeight="1" ht="22.5">
      <c r="AZ100" s="1901" t="s">
        <v>1893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1007</v>
      </c>
      <c r="BL100" s="1071" t="s">
        <v>1007</v>
      </c>
      <c r="BN100" s="1071" t="s">
        <v>1894</v>
      </c>
    </row>
    <row customHeight="1" ht="22.5">
      <c r="AZ101" s="1901" t="s">
        <v>1895</v>
      </c>
      <c r="BA101" s="1902" t="s">
        <v>1896</v>
      </c>
      <c r="BN101" s="1071" t="s">
        <v>1897</v>
      </c>
    </row>
    <row customHeight="1" ht="22.5">
      <c r="AZ102" s="1901" t="s">
        <v>1898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1899</v>
      </c>
    </row>
    <row customHeight="1" ht="11.25">
      <c r="AZ103" s="1901" t="s">
        <v>1900</v>
      </c>
      <c r="BA103" s="1902" t="s">
        <v>1901</v>
      </c>
      <c r="BN103" s="1071" t="s">
        <v>1902</v>
      </c>
    </row>
    <row customHeight="1" ht="11.25">
      <c r="BN104" s="1071" t="s">
        <v>1903</v>
      </c>
    </row>
    <row customHeight="1" ht="11.25">
      <c r="AZ105" s="1694" t="s">
        <v>1904</v>
      </c>
    </row>
    <row customHeight="1" ht="11.25">
      <c r="AZ106" s="1123" t="s">
        <v>1905</v>
      </c>
    </row>
    <row customHeight="1" ht="11.25">
      <c r="AZ107" s="1123" t="s">
        <v>1906</v>
      </c>
      <c r="BH107" s="1070" t="s">
        <v>1907</v>
      </c>
      <c r="BJ107" s="1070" t="s">
        <v>1908</v>
      </c>
      <c r="BL107" s="1070" t="s">
        <v>1909</v>
      </c>
      <c r="BN107" s="1070" t="s">
        <v>1910</v>
      </c>
    </row>
    <row customHeight="1" ht="11.25">
      <c r="AZ108" s="1123" t="s">
        <v>570</v>
      </c>
      <c r="BH108" s="1071" t="s">
        <v>1911</v>
      </c>
      <c r="BJ108" s="1071" t="s">
        <v>1912</v>
      </c>
      <c r="BL108" s="1071" t="s">
        <v>1565</v>
      </c>
      <c r="BN108" s="1071" t="s">
        <v>1913</v>
      </c>
    </row>
    <row customHeight="1" ht="11.25">
      <c r="BH109" s="1071" t="s">
        <v>1914</v>
      </c>
    </row>
    <row customHeight="1" ht="11.25">
      <c r="AZ110" s="1694" t="s">
        <v>1915</v>
      </c>
      <c r="BH110" s="1071" t="s">
        <v>1914</v>
      </c>
    </row>
    <row customHeight="1" ht="11.25">
      <c r="AZ111" s="1901" t="s">
        <v>1876</v>
      </c>
      <c r="BA111" s="1902" t="s">
        <v>1877</v>
      </c>
    </row>
    <row customHeight="1" ht="11.25">
      <c r="AZ112" s="1901" t="s">
        <v>1882</v>
      </c>
      <c r="BA112" s="1902" t="s">
        <v>1883</v>
      </c>
    </row>
    <row customHeight="1" ht="22.5">
      <c r="AZ113" s="1901" t="s">
        <v>1888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1893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1916</v>
      </c>
    </row>
    <row customHeight="1" ht="22.5">
      <c r="AZ115" s="1901" t="s">
        <v>1898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1275</v>
      </c>
    </row>
    <row customHeight="1" ht="11.25">
      <c r="AZ116" s="1901" t="s">
        <v>1900</v>
      </c>
      <c r="BA116" s="1902" t="s">
        <v>1901</v>
      </c>
      <c r="BH116" s="1071" t="s">
        <v>1303</v>
      </c>
    </row>
    <row customHeight="1" ht="11.25">
      <c r="BH117" s="1071" t="s">
        <v>1338</v>
      </c>
    </row>
    <row customHeight="1" ht="11.25">
      <c r="BH118" s="1071" t="s">
        <v>1372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37792-5D7B-A239-FB2E-0.3E58CB92}"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300</v>
      </c>
      <c r="J1" s="458" t="s">
        <v>14</v>
      </c>
    </row>
    <row customHeight="1" ht="22.5" hidden="1">
      <c r="A2" s="505"/>
      <c r="B2" s="505"/>
      <c r="C2" s="1732" t="s">
        <v>121</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1"/>
      <c r="F5" s="2262"/>
      <c r="I5" s="718"/>
      <c r="J5" s="458">
        <v>26</v>
      </c>
    </row>
    <row customHeight="1" ht="18">
      <c r="D6" s="2198" t="str">
        <f>IF(region_name=0,"Не определено",region_name)</f>
        <v>Республика Алтай</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301</v>
      </c>
      <c r="E9" s="2227"/>
      <c r="F9" s="2227"/>
      <c r="G9" s="2230" t="s">
        <v>302</v>
      </c>
      <c r="J9" s="458">
        <v>11</v>
      </c>
    </row>
    <row customHeight="1" ht="11.549999999999999">
      <c r="A10" s="505"/>
      <c r="B10" s="505"/>
      <c r="C10" s="460"/>
      <c r="D10" s="1477" t="s">
        <v>88</v>
      </c>
      <c r="E10" s="1479" t="s">
        <v>303</v>
      </c>
      <c r="F10" s="1479" t="s">
        <v>304</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"Водоканал"</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1917</v>
      </c>
      <c r="F13" s="1524" t="s">
        <v>307</v>
      </c>
      <c r="G13" s="477"/>
      <c r="H13" s="1536"/>
      <c r="J13" s="458">
        <v>19</v>
      </c>
    </row>
    <row customHeight="1" ht="19.95">
      <c r="A14" s="505"/>
      <c r="B14" s="505"/>
      <c r="C14" s="460"/>
      <c r="D14" s="1526" t="s">
        <v>712</v>
      </c>
      <c r="E14" s="1527" t="s">
        <v>1918</v>
      </c>
      <c r="F14" s="1529"/>
      <c r="G14" s="1528" t="s">
        <v>1919</v>
      </c>
      <c r="H14" s="1536"/>
      <c r="J14" s="458">
        <v>19</v>
      </c>
    </row>
    <row customHeight="1" ht="19.95">
      <c r="A15" s="505"/>
      <c r="B15" s="505"/>
      <c r="C15" s="460"/>
      <c r="D15" s="1526" t="s">
        <v>308</v>
      </c>
      <c r="E15" s="1527" t="s">
        <v>1920</v>
      </c>
      <c r="F15" s="1529"/>
      <c r="G15" s="1528" t="s">
        <v>1921</v>
      </c>
      <c r="H15" s="1536"/>
      <c r="J15" s="458">
        <v>19</v>
      </c>
    </row>
    <row customHeight="1" ht="24">
      <c r="A16" s="505"/>
      <c r="B16" s="505"/>
      <c r="C16" s="460"/>
      <c r="D16" s="1526" t="s">
        <v>311</v>
      </c>
      <c r="E16" s="1525" t="s">
        <v>1922</v>
      </c>
      <c r="F16" s="1534"/>
      <c r="G16" s="477" t="s">
        <v>1923</v>
      </c>
      <c r="H16" s="1536"/>
      <c r="J16" s="458">
        <v>23</v>
      </c>
    </row>
    <row customHeight="1" ht="48.29999999999999">
      <c r="A17" s="505"/>
      <c r="B17" s="505"/>
      <c r="C17" s="460"/>
      <c r="D17" s="1523">
        <v>3</v>
      </c>
      <c r="E17" s="1530" t="s">
        <v>1924</v>
      </c>
      <c r="F17" s="1529"/>
      <c r="G17" s="477" t="s">
        <v>1925</v>
      </c>
      <c r="H17" s="1536"/>
      <c r="J17" s="458">
        <v>46</v>
      </c>
    </row>
    <row customHeight="1" ht="48.29999999999999">
      <c r="A18" s="1478">
        <v>1</v>
      </c>
      <c r="B18" s="505"/>
      <c r="C18" s="1480"/>
      <c r="D18" s="1523" t="s">
        <v>91</v>
      </c>
      <c r="E18" s="1530" t="s">
        <v>1926</v>
      </c>
      <c r="F18" s="1529"/>
      <c r="G18" s="477" t="s">
        <v>1925</v>
      </c>
      <c r="H18" s="1536"/>
      <c r="I18" s="855"/>
      <c r="J18" s="458">
        <v>46</v>
      </c>
    </row>
    <row customHeight="1" ht="23.25">
      <c r="A19" s="505"/>
      <c r="B19" s="505"/>
      <c r="C19" s="460"/>
      <c r="D19" s="1523" t="s">
        <v>110</v>
      </c>
      <c r="E19" s="1530" t="s">
        <v>1927</v>
      </c>
      <c r="F19" s="1524" t="s">
        <v>307</v>
      </c>
      <c r="G19" s="2493" t="s">
        <v>1928</v>
      </c>
      <c r="H19" s="478"/>
      <c r="J19" s="458">
        <v>22</v>
      </c>
    </row>
    <row s="1533" customFormat="1" customHeight="1" ht="5.25" hidden="1">
      <c r="A20" s="505"/>
      <c r="B20" s="505"/>
      <c r="C20" s="1532"/>
      <c r="D20" s="1531" t="s">
        <v>1174</v>
      </c>
      <c r="E20" s="1017"/>
      <c r="F20" s="1016"/>
      <c r="G20" s="2494"/>
      <c r="J20" s="1533">
        <v>0</v>
      </c>
    </row>
    <row customHeight="1" ht="15.75">
      <c r="A21" s="505"/>
      <c r="B21" s="505"/>
      <c r="C21" s="460"/>
      <c r="D21" s="470"/>
      <c r="E21" s="418" t="s">
        <v>340</v>
      </c>
      <c r="F21" s="472"/>
      <c r="G21" s="2495"/>
      <c r="H21" s="1536"/>
      <c r="J21" s="458">
        <v>15</v>
      </c>
    </row>
    <row s="504" customFormat="1" customHeight="1" ht="26.25">
      <c r="A22" s="505"/>
      <c r="B22" s="505"/>
      <c r="C22" s="505"/>
      <c r="D22" s="1523" t="s">
        <v>92</v>
      </c>
      <c r="E22" s="477" t="s">
        <v>1929</v>
      </c>
      <c r="F22" s="1529"/>
      <c r="G22" s="477" t="s">
        <v>1930</v>
      </c>
      <c r="H22" s="1535"/>
      <c r="J22" s="504">
        <v>25</v>
      </c>
    </row>
    <row s="504" customFormat="1" customHeight="1" ht="19.95">
      <c r="A23" s="505"/>
      <c r="B23" s="505"/>
      <c r="C23" s="505"/>
      <c r="D23" s="1523" t="s">
        <v>93</v>
      </c>
      <c r="E23" s="1530" t="s">
        <v>1931</v>
      </c>
      <c r="F23" s="1534"/>
      <c r="G23" s="477" t="s">
        <v>1932</v>
      </c>
      <c r="H23" s="1535"/>
      <c r="J23" s="504">
        <v>19</v>
      </c>
    </row>
    <row s="504" customFormat="1" customHeight="1" ht="144" hidden="1">
      <c r="A24" s="505"/>
      <c r="B24" s="505"/>
      <c r="C24" s="505"/>
      <c r="D24" s="1523"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36FA8-1AC8-D138-6FCE-0.25567647}"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1933</v>
      </c>
      <c r="G1" s="1634" t="s">
        <v>48</v>
      </c>
      <c r="H1" s="1634" t="s">
        <v>50</v>
      </c>
      <c r="IU1" s="1158" t="s">
        <v>14</v>
      </c>
    </row>
    <row s="1850" customFormat="1" customHeight="1" ht="22.5" hidden="1">
      <c r="A2" s="834"/>
      <c r="B2" s="1163">
        <v>1</v>
      </c>
      <c r="C2" s="1163"/>
      <c r="D2" s="1928" t="s">
        <v>121</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301</v>
      </c>
      <c r="F7" s="2124"/>
      <c r="G7" s="2124"/>
      <c r="H7" s="2124"/>
      <c r="I7" s="2124"/>
      <c r="J7" s="2496" t="s">
        <v>302</v>
      </c>
      <c r="K7" s="503"/>
      <c r="L7" s="503"/>
      <c r="M7" s="503"/>
      <c r="N7" s="503"/>
      <c r="O7" s="229"/>
      <c r="P7" s="503"/>
      <c r="Q7" s="228"/>
      <c r="R7" s="228"/>
      <c r="S7" s="228"/>
      <c r="T7" s="228"/>
      <c r="IU7" s="510">
        <v>14</v>
      </c>
    </row>
    <row s="1821" customFormat="1" customHeight="1" ht="21">
      <c r="A8" s="1158"/>
      <c r="B8" s="1163"/>
      <c r="C8" s="1158"/>
      <c r="D8" s="1498"/>
      <c r="E8" s="1551" t="s">
        <v>88</v>
      </c>
      <c r="F8" s="1543" t="s">
        <v>1933</v>
      </c>
      <c r="G8" s="1543" t="s">
        <v>48</v>
      </c>
      <c r="H8" s="1543" t="s">
        <v>50</v>
      </c>
      <c r="I8" s="1543" t="s">
        <v>1934</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1935</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8E5DD-2EE3-0779-A87E-0.534AEFF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121</v>
      </c>
      <c r="E2" s="1889"/>
      <c r="F2" s="1892" t="str">
        <f>IF(ROIV_INFO_NAME="","",ROIV_INFO_NAME)</f>
        <v>АО "Водоканал"</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7"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301</v>
      </c>
      <c r="F7" s="2124"/>
      <c r="G7" s="2124"/>
      <c r="H7" s="2124"/>
      <c r="I7" s="2124"/>
      <c r="J7" s="2124"/>
      <c r="K7" s="2124"/>
      <c r="L7" s="2496" t="s">
        <v>302</v>
      </c>
      <c r="M7" s="503"/>
      <c r="N7" s="503"/>
      <c r="O7" s="503"/>
      <c r="P7" s="503"/>
      <c r="Q7" s="229"/>
      <c r="R7" s="503"/>
      <c r="S7" s="228"/>
      <c r="T7" s="228"/>
      <c r="U7" s="228"/>
      <c r="V7" s="228"/>
      <c r="IW7" s="510">
        <v>14</v>
      </c>
    </row>
    <row s="1821" customFormat="1" customHeight="1" ht="67.2">
      <c r="A8" s="1158"/>
      <c r="B8" s="1163"/>
      <c r="C8" s="1158"/>
      <c r="D8" s="1498"/>
      <c r="E8" s="2500" t="s">
        <v>88</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1936</v>
      </c>
      <c r="H9" s="1540" t="s">
        <v>1937</v>
      </c>
      <c r="I9" s="1540" t="s">
        <v>1938</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АО "Водоканал"</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1939</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33054-2666-3CD4-8866-0.1220D75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121</v>
      </c>
      <c r="E2" s="1904"/>
      <c r="F2" s="1906" t="str">
        <f>IF(ROIV_INFO_NAME="","",ROIV_INFO_NAME)</f>
        <v>АО "Водоканал"</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83</v>
      </c>
      <c r="G3" s="1737" t="s">
        <v>84</v>
      </c>
      <c r="H3" s="1893"/>
      <c r="I3" s="1893"/>
      <c r="J3" s="1893"/>
      <c r="K3" s="1893"/>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301</v>
      </c>
      <c r="F7" s="2124"/>
      <c r="G7" s="2124"/>
      <c r="H7" s="2124"/>
      <c r="I7" s="2124"/>
      <c r="J7" s="2124"/>
      <c r="K7" s="2124"/>
      <c r="L7" s="2496" t="s">
        <v>302</v>
      </c>
      <c r="M7" s="1627"/>
      <c r="N7" s="1627"/>
      <c r="O7" s="1627"/>
      <c r="P7" s="1627"/>
      <c r="Q7" s="1627"/>
      <c r="R7" s="1627"/>
      <c r="S7" s="228"/>
      <c r="T7" s="228"/>
      <c r="U7" s="228"/>
      <c r="V7" s="228"/>
      <c r="IW7" s="1612">
        <v>14</v>
      </c>
    </row>
    <row s="1821" customFormat="1" customHeight="1" ht="67.2">
      <c r="A8" s="1634"/>
      <c r="B8" s="1369"/>
      <c r="C8" s="1634"/>
      <c r="D8" s="1518"/>
      <c r="E8" s="2500" t="s">
        <v>88</v>
      </c>
      <c r="F8" s="2500" t="s">
        <v>1940</v>
      </c>
      <c r="G8" s="2502" t="s">
        <v>1941</v>
      </c>
      <c r="H8" s="2503"/>
      <c r="I8" s="2504"/>
      <c r="J8" s="2500" t="s">
        <v>1942</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1936</v>
      </c>
      <c r="H9" s="1894" t="s">
        <v>1937</v>
      </c>
      <c r="I9" s="1894" t="s">
        <v>1938</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АО "Водоканал"</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1939</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6D576-72A4-3461-E0B3-0.ECD1814D}"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121</v>
      </c>
      <c r="E2" s="2149">
        <v>1</v>
      </c>
      <c r="F2" s="2325" t="str">
        <f>IF(region_name="","",region_name)</f>
        <v>Республика Алтай</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1943</v>
      </c>
      <c r="L3" s="1546"/>
      <c r="M3" s="1920"/>
      <c r="N3" s="1913"/>
      <c r="O3" s="1538"/>
      <c r="P3" s="514"/>
      <c r="Q3" s="426">
        <v>0</v>
      </c>
    </row>
    <row s="1645" customFormat="1" customHeight="1" ht="5.25" hidden="1">
      <c r="A4" s="499"/>
      <c r="D4" s="497"/>
      <c r="F4" s="250" t="s">
        <v>83</v>
      </c>
      <c r="G4" s="497" t="s">
        <v>84</v>
      </c>
      <c r="H4" s="497"/>
      <c r="I4" s="1923"/>
      <c r="J4" s="1547"/>
      <c r="K4" s="1911"/>
      <c r="L4" s="1911"/>
      <c r="M4" s="1911"/>
      <c r="N4" s="1907"/>
      <c r="O4" s="250" t="s">
        <v>83</v>
      </c>
      <c r="P4" s="250"/>
      <c r="Q4" s="514">
        <v>0</v>
      </c>
    </row>
    <row s="1850" customFormat="1" customHeight="1" ht="22.5" hidden="1">
      <c r="A5" s="1644"/>
      <c r="B5" s="1369">
        <v>1</v>
      </c>
      <c r="C5" s="1369"/>
      <c r="D5" s="804"/>
      <c r="E5" s="1913"/>
      <c r="F5" s="1913"/>
      <c r="G5" s="1913"/>
      <c r="H5" s="1924"/>
      <c r="I5" s="1929" t="s">
        <v>121</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301</v>
      </c>
      <c r="F10" s="2149"/>
      <c r="G10" s="2149"/>
      <c r="H10" s="2149"/>
      <c r="I10" s="2149"/>
      <c r="J10" s="2149"/>
      <c r="K10" s="2149"/>
      <c r="L10" s="2149"/>
      <c r="M10" s="2123"/>
      <c r="N10" s="2500" t="s">
        <v>302</v>
      </c>
      <c r="O10" s="503"/>
      <c r="P10" s="503"/>
      <c r="Q10" s="510">
        <v>14</v>
      </c>
    </row>
    <row s="1821" customFormat="1" customHeight="1" ht="44.25">
      <c r="A11" s="1634"/>
      <c r="B11" s="1369"/>
      <c r="C11" s="1634"/>
      <c r="D11" s="1518"/>
      <c r="E11" s="2514" t="s">
        <v>88</v>
      </c>
      <c r="F11" s="2514" t="s">
        <v>305</v>
      </c>
      <c r="G11" s="2514" t="s">
        <v>1944</v>
      </c>
      <c r="H11" s="2514"/>
      <c r="I11" s="2514" t="s">
        <v>1945</v>
      </c>
      <c r="J11" s="2514"/>
      <c r="K11" s="2514"/>
      <c r="L11" s="2514" t="s">
        <v>1946</v>
      </c>
      <c r="M11" s="2502" t="s">
        <v>1947</v>
      </c>
      <c r="N11" s="2513"/>
      <c r="O11" s="1627"/>
      <c r="P11" s="1627"/>
      <c r="Q11" s="1612">
        <v>42</v>
      </c>
    </row>
    <row s="1821" customFormat="1" customHeight="1" ht="29.25">
      <c r="A12" s="1158"/>
      <c r="B12" s="1163"/>
      <c r="C12" s="1158"/>
      <c r="D12" s="1498"/>
      <c r="E12" s="2500"/>
      <c r="F12" s="2514"/>
      <c r="G12" s="1909" t="s">
        <v>1948</v>
      </c>
      <c r="H12" s="1909" t="s">
        <v>309</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Республика Алтай</v>
      </c>
      <c r="G13" s="2509"/>
      <c r="H13" s="2516"/>
      <c r="I13" s="477"/>
      <c r="J13" s="1905">
        <v>1</v>
      </c>
      <c r="K13" s="1918"/>
      <c r="L13" s="1919"/>
      <c r="M13" s="1919"/>
      <c r="N13" s="2510" t="s">
        <v>1949</v>
      </c>
      <c r="O13" s="1538"/>
      <c r="P13" s="514"/>
      <c r="Q13" s="426">
        <v>22</v>
      </c>
    </row>
    <row s="1850" customFormat="1" customHeight="1" ht="23.25">
      <c r="A14" s="2121"/>
      <c r="B14" s="1163"/>
      <c r="C14" s="1163"/>
      <c r="D14" s="804"/>
      <c r="E14" s="2149"/>
      <c r="F14" s="2508"/>
      <c r="G14" s="2509"/>
      <c r="H14" s="2517"/>
      <c r="I14" s="424"/>
      <c r="J14" s="1503"/>
      <c r="K14" s="1503" t="s">
        <v>1943</v>
      </c>
      <c r="L14" s="1546"/>
      <c r="M14" s="1546"/>
      <c r="N14" s="2511"/>
      <c r="O14" s="1538"/>
      <c r="P14" s="514"/>
      <c r="Q14" s="426">
        <v>22</v>
      </c>
    </row>
    <row s="1850" customFormat="1" customHeight="1" ht="23.25">
      <c r="A15" s="2121"/>
      <c r="B15" s="1163"/>
      <c r="C15" s="415"/>
      <c r="D15" s="804"/>
      <c r="E15" s="424"/>
      <c r="F15" s="1503" t="s">
        <v>1935</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DD1BF-2D08-39C5-750D-0.BAD185B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1950</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301</v>
      </c>
      <c r="E8" s="2231"/>
      <c r="F8" s="2231"/>
      <c r="G8" s="2231"/>
      <c r="H8" s="2231"/>
      <c r="I8" s="2231" t="s">
        <v>302</v>
      </c>
      <c r="M8" s="124">
        <v>14</v>
      </c>
    </row>
    <row customHeight="1" ht="29.25">
      <c r="D9" s="2231" t="s">
        <v>88</v>
      </c>
      <c r="E9" s="2231" t="s">
        <v>1951</v>
      </c>
      <c r="F9" s="2231"/>
      <c r="G9" s="2231"/>
      <c r="H9" s="2231"/>
      <c r="I9" s="2231"/>
      <c r="M9" s="124">
        <v>28</v>
      </c>
    </row>
    <row customHeight="1" ht="24">
      <c r="D10" s="2231"/>
      <c r="E10" s="130" t="s">
        <v>1952</v>
      </c>
      <c r="F10" s="130" t="s">
        <v>1953</v>
      </c>
      <c r="G10" s="130" t="s">
        <v>1954</v>
      </c>
      <c r="H10" s="130" t="s">
        <v>391</v>
      </c>
      <c r="I10" s="2231"/>
      <c r="M10" s="124">
        <v>23</v>
      </c>
    </row>
    <row customHeight="1" ht="12" hidden="1">
      <c r="D11" s="90" t="s">
        <v>99</v>
      </c>
      <c r="E11" s="90" t="s">
        <v>91</v>
      </c>
      <c r="F11" s="90" t="s">
        <v>110</v>
      </c>
      <c r="G11" s="90" t="s">
        <v>92</v>
      </c>
      <c r="H11" s="90" t="s">
        <v>93</v>
      </c>
      <c r="I11" s="90" t="s">
        <v>111</v>
      </c>
      <c r="M11" s="124">
        <v>0</v>
      </c>
    </row>
    <row s="1825" customFormat="1" customHeight="1" ht="26.25">
      <c r="A12" s="148" t="s">
        <v>90</v>
      </c>
      <c r="B12" s="128" t="s">
        <v>22</v>
      </c>
      <c r="C12" s="129"/>
      <c r="D12" s="131" t="s">
        <v>99</v>
      </c>
      <c r="E12" s="384"/>
      <c r="F12" s="384"/>
      <c r="G12" s="1736" t="s">
        <v>22</v>
      </c>
      <c r="H12" s="385"/>
      <c r="I12" s="2191" t="s">
        <v>1955</v>
      </c>
      <c r="K12" s="275"/>
      <c r="L12" s="276"/>
      <c r="M12" s="120">
        <v>25</v>
      </c>
    </row>
    <row customHeight="1" ht="15.75">
      <c r="A13" s="124"/>
      <c r="B13" s="124"/>
      <c r="C13" s="124"/>
      <c r="D13" s="112"/>
      <c r="E13" s="133" t="s">
        <v>465</v>
      </c>
      <c r="F13" s="132"/>
      <c r="G13" s="132"/>
      <c r="H13" s="217"/>
      <c r="I13" s="2193"/>
      <c r="M13" s="124">
        <v>15</v>
      </c>
    </row>
    <row customHeight="1" ht="3">
      <c r="A14" s="124"/>
      <c r="B14" s="124"/>
      <c r="C14" s="124"/>
      <c r="M14" s="124">
        <v>3</v>
      </c>
    </row>
    <row customHeight="1" ht="29.25">
      <c r="E15" s="2518" t="s">
        <v>1956</v>
      </c>
      <c r="F15" s="2518"/>
      <c r="G15" s="2518"/>
      <c r="H15" s="2518"/>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00915-592C-AA27-6439-0.6667DB3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1957</v>
      </c>
      <c r="E7" s="2520"/>
      <c r="F7" s="270"/>
      <c r="J7" s="72">
        <v>22</v>
      </c>
    </row>
    <row customHeight="1" ht="3">
      <c r="C8" s="95"/>
      <c r="D8" s="73"/>
      <c r="E8" s="73"/>
      <c r="J8" s="72">
        <v>3</v>
      </c>
    </row>
    <row customHeight="1" ht="16.8">
      <c r="C9" s="95"/>
      <c r="D9" s="108" t="s">
        <v>88</v>
      </c>
      <c r="E9" s="263" t="s">
        <v>1958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1959</v>
      </c>
      <c r="J13" s="72">
        <v>12</v>
      </c>
    </row>
    <row customHeight="1" ht="3">
      <c r="J14" s="72">
        <v>3</v>
      </c>
    </row>
    <row customHeight="1" ht="23.25">
      <c r="C15" s="140"/>
      <c r="D15" s="2521" t="s">
        <v>1960</v>
      </c>
      <c r="E15" s="2521"/>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702B8-34CA-DFBB-A3B4-0.723D5EE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1961</v>
      </c>
      <c r="E7" s="2122"/>
      <c r="F7" s="270"/>
      <c r="M7" s="72">
        <v>22</v>
      </c>
    </row>
    <row customHeight="1" ht="3">
      <c r="C8" s="95"/>
      <c r="D8" s="73"/>
      <c r="E8" s="73"/>
      <c r="M8" s="72">
        <v>3</v>
      </c>
    </row>
    <row customHeight="1" ht="16.8">
      <c r="C9" s="95"/>
      <c r="D9" s="108" t="s">
        <v>88</v>
      </c>
      <c r="E9" s="111" t="s">
        <v>288</v>
      </c>
      <c r="M9" s="72">
        <v>16</v>
      </c>
    </row>
    <row customHeight="1" ht="12.75">
      <c r="C10" s="95"/>
      <c r="D10" s="90" t="s">
        <v>99</v>
      </c>
      <c r="E10" s="90" t="s">
        <v>109</v>
      </c>
      <c r="M10" s="72">
        <v>12</v>
      </c>
    </row>
    <row customHeight="1" ht="15" hidden="1">
      <c r="C11" s="95"/>
      <c r="D11" s="116">
        <v>0</v>
      </c>
      <c r="E11" s="152"/>
      <c r="M11" s="72">
        <v>0</v>
      </c>
    </row>
    <row customHeight="1" ht="14.699999999999998">
      <c r="C12" s="95"/>
      <c r="D12" s="112"/>
      <c r="E12" s="110" t="s">
        <v>1959</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FB16D-768D-25DF-C636-0.B39F565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280</v>
      </c>
      <c r="M2" s="1556" t="s">
        <v>281</v>
      </c>
      <c r="R2" s="1556" t="s">
        <v>282</v>
      </c>
      <c r="S2" s="1556" t="s">
        <v>281</v>
      </c>
      <c r="X2" s="1556" t="s">
        <v>280</v>
      </c>
      <c r="Y2" s="1556" t="s">
        <v>281</v>
      </c>
      <c r="AD2" s="1556" t="s">
        <v>280</v>
      </c>
      <c r="AE2" s="1556" t="s">
        <v>281</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283</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АО "Водоканал"</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88</v>
      </c>
      <c r="E8" s="2149" t="s">
        <v>105</v>
      </c>
      <c r="F8" s="2214" t="s">
        <v>125</v>
      </c>
      <c r="G8" s="2215"/>
      <c r="H8" s="2214" t="s">
        <v>88</v>
      </c>
      <c r="I8" s="2215"/>
      <c r="J8" s="2149" t="s">
        <v>126</v>
      </c>
      <c r="K8" s="1559"/>
      <c r="L8" s="2218" t="s">
        <v>284</v>
      </c>
      <c r="M8" s="2218"/>
      <c r="N8" s="2218"/>
      <c r="O8" s="2218"/>
      <c r="P8" s="2218"/>
      <c r="Q8" s="1560"/>
      <c r="R8" s="2118" t="s">
        <v>285</v>
      </c>
      <c r="S8" s="2219"/>
      <c r="T8" s="2219"/>
      <c r="U8" s="2219"/>
      <c r="V8" s="2219"/>
      <c r="W8" s="1560"/>
      <c r="X8" s="2220" t="s">
        <v>286</v>
      </c>
      <c r="Y8" s="2220"/>
      <c r="Z8" s="2220"/>
      <c r="AA8" s="2220"/>
      <c r="AB8" s="2220"/>
      <c r="AC8" s="1561"/>
      <c r="AD8" s="2149" t="s">
        <v>287</v>
      </c>
      <c r="AE8" s="2149"/>
      <c r="AF8" s="2149"/>
      <c r="AG8" s="2149"/>
      <c r="AH8" s="2123"/>
      <c r="AI8" s="2149" t="s">
        <v>288</v>
      </c>
      <c r="AJ8" s="1577"/>
      <c r="BM8" s="296">
        <v>32</v>
      </c>
    </row>
    <row customHeight="1" ht="23.25">
      <c r="D9" s="2149"/>
      <c r="E9" s="2149"/>
      <c r="F9" s="2197" t="s">
        <v>89</v>
      </c>
      <c r="G9" s="2197" t="s">
        <v>131</v>
      </c>
      <c r="H9" s="2216"/>
      <c r="I9" s="2217"/>
      <c r="J9" s="2123"/>
      <c r="K9" s="1562"/>
      <c r="L9" s="2149" t="s">
        <v>289</v>
      </c>
      <c r="M9" s="2123"/>
      <c r="N9" s="2214" t="s">
        <v>88</v>
      </c>
      <c r="O9" s="2215"/>
      <c r="P9" s="2149" t="s">
        <v>132</v>
      </c>
      <c r="Q9" s="1559"/>
      <c r="R9" s="2149" t="s">
        <v>289</v>
      </c>
      <c r="S9" s="2123"/>
      <c r="T9" s="2214" t="s">
        <v>88</v>
      </c>
      <c r="U9" s="2215"/>
      <c r="V9" s="2149" t="s">
        <v>132</v>
      </c>
      <c r="W9" s="1559"/>
      <c r="X9" s="2149" t="s">
        <v>289</v>
      </c>
      <c r="Y9" s="2123"/>
      <c r="Z9" s="2214" t="s">
        <v>88</v>
      </c>
      <c r="AA9" s="2215"/>
      <c r="AB9" s="2149" t="s">
        <v>290</v>
      </c>
      <c r="AC9" s="1559"/>
      <c r="AD9" s="2149" t="s">
        <v>289</v>
      </c>
      <c r="AE9" s="2123"/>
      <c r="AF9" s="2214" t="s">
        <v>88</v>
      </c>
      <c r="AG9" s="2215"/>
      <c r="AH9" s="2123" t="s">
        <v>290</v>
      </c>
      <c r="AI9" s="2149"/>
      <c r="AJ9" s="1577"/>
      <c r="BM9" s="296">
        <v>22</v>
      </c>
    </row>
    <row customHeight="1" ht="24">
      <c r="D10" s="2197"/>
      <c r="E10" s="2197"/>
      <c r="F10" s="2221"/>
      <c r="G10" s="2221"/>
      <c r="H10" s="2222"/>
      <c r="I10" s="2223"/>
      <c r="J10" s="2214"/>
      <c r="K10" s="1562"/>
      <c r="L10" s="1581" t="s">
        <v>291</v>
      </c>
      <c r="M10" s="1576" t="s">
        <v>292</v>
      </c>
      <c r="N10" s="2216"/>
      <c r="O10" s="2217"/>
      <c r="P10" s="2197"/>
      <c r="Q10" s="1559"/>
      <c r="R10" s="1581" t="s">
        <v>291</v>
      </c>
      <c r="S10" s="1576" t="s">
        <v>292</v>
      </c>
      <c r="T10" s="2216"/>
      <c r="U10" s="2217"/>
      <c r="V10" s="2197"/>
      <c r="W10" s="1559"/>
      <c r="X10" s="1581" t="s">
        <v>291</v>
      </c>
      <c r="Y10" s="1576" t="s">
        <v>292</v>
      </c>
      <c r="Z10" s="2216"/>
      <c r="AA10" s="2217"/>
      <c r="AB10" s="2197"/>
      <c r="AC10" s="1559"/>
      <c r="AD10" s="1581" t="s">
        <v>291</v>
      </c>
      <c r="AE10" s="1576" t="s">
        <v>292</v>
      </c>
      <c r="AF10" s="2216"/>
      <c r="AG10" s="2217"/>
      <c r="AH10" s="2214"/>
      <c r="AI10" s="2197"/>
      <c r="AJ10" s="1577"/>
      <c r="AK10" s="257" t="s">
        <v>293</v>
      </c>
      <c r="AL10" s="257" t="s">
        <v>133</v>
      </c>
      <c r="BM10" s="296">
        <v>23</v>
      </c>
    </row>
    <row customHeight="1" ht="15">
      <c r="D11" s="2205" t="s">
        <v>99</v>
      </c>
      <c r="E11" s="2201" t="s">
        <v>294</v>
      </c>
      <c r="F11" s="2201" t="s">
        <v>295</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109</v>
      </c>
      <c r="E17" s="2201" t="s">
        <v>294</v>
      </c>
      <c r="F17" s="2201" t="s">
        <v>296</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90</v>
      </c>
      <c r="E23" s="2201" t="s">
        <v>294</v>
      </c>
      <c r="F23" s="2201" t="s">
        <v>297</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98</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91</v>
      </c>
      <c r="E29" s="2201" t="s">
        <v>294</v>
      </c>
      <c r="F29" s="2201" t="s">
        <v>298</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110</v>
      </c>
      <c r="E35" s="2201" t="s">
        <v>294</v>
      </c>
      <c r="F35" s="2201" t="s">
        <v>299</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F269B-F41E-FCAC-6ECD-0.627CC9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1962</v>
      </c>
      <c r="C2" s="2522"/>
      <c r="D2" s="2522"/>
      <c r="E2" s="271"/>
      <c r="F2" s="92">
        <v>22</v>
      </c>
    </row>
    <row customHeight="1" ht="3">
      <c r="F3" s="92">
        <v>3</v>
      </c>
    </row>
    <row customHeight="1" ht="23.25">
      <c r="B4" s="2640" t="s">
        <v>1963</v>
      </c>
      <c r="C4" s="386" t="s">
        <v>1964</v>
      </c>
      <c r="D4" s="386" t="s">
        <v>1965</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0E302-81E5-E25A-7B23-0.0F7559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1966</v>
      </c>
    </row>
    <row r="4" s="267" customFormat="1" customHeight="1" ht="15">
      <c r="C4" s="1818"/>
      <c r="D4" s="116"/>
      <c r="E4" s="380"/>
    </row>
    <row r="6" s="1817" customFormat="1" customHeight="1" ht="17.25">
      <c r="A6" s="1817" t="s">
        <v>1967</v>
      </c>
    </row>
    <row r="8" s="267" customFormat="1" customHeight="1" ht="17.25">
      <c r="C8" s="1819"/>
      <c r="D8" s="116"/>
      <c r="E8" s="117"/>
    </row>
    <row r="11" s="1817" customFormat="1" customHeight="1" ht="17.25">
      <c r="A11" s="1817" t="s">
        <v>1968</v>
      </c>
    </row>
    <row r="13" s="1821" customFormat="1" customHeight="1" ht="15">
      <c r="A13" s="2239">
        <v>1</v>
      </c>
      <c r="B13" s="1163"/>
      <c r="C13" s="804" t="s">
        <v>121</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1969</v>
      </c>
    </row>
    <row r="19" s="1850" customFormat="1" customHeight="1" ht="15">
      <c r="A19" s="1882"/>
      <c r="B19" s="1369">
        <v>1</v>
      </c>
      <c r="C19" s="1369"/>
      <c r="D19" s="803" t="s">
        <v>121</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1970</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121</v>
      </c>
      <c r="D23" s="2130" t="s">
        <v>99</v>
      </c>
      <c r="E23" s="2131"/>
      <c r="F23" s="2129" t="s">
        <v>19</v>
      </c>
      <c r="G23" s="2579"/>
      <c r="H23" s="2149">
        <v>1</v>
      </c>
      <c r="I23" s="2581" t="str">
        <f>IF(U23="","",INDEX(TERRITORY_MR_LIST,MATCH(U23,TERRITORY_LIST_ID,0)))</f>
        <v/>
      </c>
      <c r="J23" s="2129" t="s">
        <v>19</v>
      </c>
      <c r="K23" s="835"/>
      <c r="L23" s="1784" t="s">
        <v>99</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1971</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121</v>
      </c>
      <c r="H29" s="2125">
        <v>1</v>
      </c>
      <c r="I29" s="2584" t="str">
        <f>IF(U29="","",INDEX(TERRITORY_MR_LIST,MATCH(U29,TERRITORY_LIST_ID,0)))</f>
        <v/>
      </c>
      <c r="J29" s="2129" t="s">
        <v>19</v>
      </c>
      <c r="K29" s="835"/>
      <c r="L29" s="1784" t="s">
        <v>99</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1972</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121</v>
      </c>
      <c r="L34" s="1731" t="s">
        <v>99</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1973</v>
      </c>
    </row>
    <row customHeight="1" ht="11.25"/>
    <row s="458" customFormat="1" customHeight="1" ht="22.5">
      <c r="A39" s="1793"/>
      <c r="B39" s="460"/>
      <c r="C39" s="862"/>
      <c r="D39" s="443"/>
      <c r="E39" s="863"/>
      <c r="F39" s="1814"/>
      <c r="G39" s="1824"/>
      <c r="H39" s="478"/>
    </row>
    <row customHeight="1" ht="11.25"/>
    <row s="1817" customFormat="1" customHeight="1" ht="11.25">
      <c r="A41" s="1817" t="s">
        <v>1974</v>
      </c>
    </row>
    <row customHeight="1" ht="11.25"/>
    <row s="458" customFormat="1" customHeight="1" ht="22.5">
      <c r="A43" s="460"/>
      <c r="B43" s="460"/>
      <c r="C43" s="460"/>
      <c r="D43" s="443"/>
      <c r="E43" s="863"/>
      <c r="F43" s="864"/>
      <c r="G43" s="1824"/>
      <c r="H43" s="478"/>
    </row>
    <row customHeight="1" ht="11.25"/>
    <row s="1817" customFormat="1" customHeight="1" ht="11.25">
      <c r="A45" s="1817" t="s">
        <v>1975</v>
      </c>
    </row>
    <row customHeight="1" ht="11.25"/>
    <row s="458" customFormat="1" customHeight="1" ht="24">
      <c r="A47" s="2224" t="s">
        <v>314</v>
      </c>
      <c r="B47" s="505"/>
      <c r="C47" s="2235"/>
      <c r="D47" s="448" t="str">
        <f>A47</f>
        <v>5.1</v>
      </c>
      <c r="E47" s="445" t="s">
        <v>315</v>
      </c>
      <c r="F47" s="1976" t="s">
        <v>307</v>
      </c>
      <c r="G47" s="447" t="s">
        <v>316</v>
      </c>
      <c r="H47" s="478"/>
      <c r="I47" s="855"/>
    </row>
    <row s="458" customFormat="1" customHeight="1" ht="22.5">
      <c r="A48" s="2224"/>
      <c r="B48" s="505"/>
      <c r="C48" s="2235"/>
      <c r="D48" s="443" t="str">
        <f>D47&amp;".1"</f>
        <v>5.1.1</v>
      </c>
      <c r="E48" s="442" t="s">
        <v>317</v>
      </c>
      <c r="F48" s="1977" t="s">
        <v>22</v>
      </c>
      <c r="G48" s="477"/>
      <c r="H48" s="478"/>
      <c r="I48" s="855"/>
    </row>
    <row s="458" customFormat="1" customHeight="1" ht="22.5">
      <c r="A49" s="2224"/>
      <c r="B49" s="505"/>
      <c r="C49" s="2235"/>
      <c r="D49" s="443" t="str">
        <f>D47&amp;".2"</f>
        <v>5.1.2</v>
      </c>
      <c r="E49" s="442" t="s">
        <v>318</v>
      </c>
      <c r="F49" s="1734" t="s">
        <v>22</v>
      </c>
      <c r="G49" s="447" t="s">
        <v>319</v>
      </c>
      <c r="H49" s="478"/>
      <c r="I49" s="855"/>
    </row>
    <row s="458" customFormat="1" customHeight="1" ht="22.5">
      <c r="A50" s="2224"/>
      <c r="B50" s="505"/>
      <c r="C50" s="2235"/>
      <c r="D50" s="443" t="str">
        <f>D47&amp;".3"</f>
        <v>5.1.3</v>
      </c>
      <c r="E50" s="442" t="s">
        <v>320</v>
      </c>
      <c r="F50" s="1977" t="s">
        <v>22</v>
      </c>
      <c r="G50" s="477"/>
      <c r="H50" s="478"/>
      <c r="I50" s="855"/>
    </row>
    <row s="458" customFormat="1" customHeight="1" ht="22.5">
      <c r="A51" s="2224"/>
      <c r="B51" s="505"/>
      <c r="C51" s="2235"/>
      <c r="D51" s="443" t="str">
        <f>D47&amp;".4"</f>
        <v>5.1.4</v>
      </c>
      <c r="E51" s="442" t="s">
        <v>321</v>
      </c>
      <c r="F51" s="1977" t="s">
        <v>22</v>
      </c>
      <c r="G51" s="447" t="s">
        <v>322</v>
      </c>
      <c r="H51" s="478"/>
      <c r="I51" s="855"/>
    </row>
    <row r="54" s="1817" customFormat="1" customHeight="1" ht="17.25">
      <c r="A54" s="1817" t="s">
        <v>1976</v>
      </c>
    </row>
    <row r="56" s="1615" customFormat="1" customHeight="1" ht="18.75">
      <c r="A56" s="92"/>
      <c r="B56" s="1825"/>
      <c r="C56" s="1825"/>
      <c r="D56" s="1826"/>
      <c r="E56" s="1811"/>
      <c r="F56" s="871">
        <v>13</v>
      </c>
      <c r="G56" s="870"/>
      <c r="H56" s="796"/>
      <c r="I56" s="794"/>
      <c r="J56" s="523" t="s">
        <v>62</v>
      </c>
      <c r="K56" s="1827" t="s">
        <v>22</v>
      </c>
      <c r="L56" s="92"/>
      <c r="M56" s="1639"/>
      <c r="N56" s="1639"/>
      <c r="O56" s="1639"/>
      <c r="P56" s="519" t="s">
        <v>393</v>
      </c>
      <c r="Q56" s="519" t="s">
        <v>394</v>
      </c>
      <c r="R56" s="520" t="s">
        <v>395</v>
      </c>
      <c r="S56" s="1639" t="s">
        <v>396</v>
      </c>
      <c r="T56" s="1639"/>
      <c r="U56" s="1639"/>
      <c r="V56" s="1639"/>
    </row>
    <row r="58" s="1817" customFormat="1" customHeight="1" ht="11.25">
      <c r="A58" s="1817" t="s">
        <v>1977</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382</v>
      </c>
      <c r="AQ60" s="1627" t="s">
        <v>382</v>
      </c>
      <c r="AR60" s="1639"/>
      <c r="AS60" s="1639"/>
    </row>
    <row r="62" s="1817" customFormat="1" customHeight="1" ht="11.25">
      <c r="A62" s="1817" t="s">
        <v>1978</v>
      </c>
    </row>
    <row r="64" s="1825" customFormat="1" customHeight="1" ht="15">
      <c r="A64" s="148" t="s">
        <v>90</v>
      </c>
      <c r="B64" s="128" t="s">
        <v>22</v>
      </c>
      <c r="C64" s="1828"/>
      <c r="D64" s="131"/>
      <c r="E64" s="384"/>
      <c r="F64" s="384"/>
      <c r="G64" s="1805"/>
      <c r="H64" s="1827"/>
      <c r="I64" s="1806"/>
      <c r="K64" s="275"/>
      <c r="L64" s="276"/>
    </row>
    <row r="66" s="1817" customFormat="1" customHeight="1" ht="11.25">
      <c r="A66" s="1817" t="s">
        <v>1979</v>
      </c>
    </row>
    <row r="68" s="1638" customFormat="1" customHeight="1" ht="14.25">
      <c r="A68" s="346"/>
      <c r="B68" s="1163"/>
      <c r="C68" s="379"/>
      <c r="D68" s="1812"/>
      <c r="E68" s="889"/>
      <c r="F68" s="1827"/>
      <c r="G68" s="92"/>
      <c r="I68" s="1627"/>
      <c r="J68" s="1627"/>
    </row>
    <row r="70" s="1817" customFormat="1" customHeight="1" ht="11.25">
      <c r="A70" s="1817" t="s">
        <v>1980</v>
      </c>
    </row>
    <row r="72" s="1638" customFormat="1" customHeight="1" ht="27">
      <c r="A72" s="1169"/>
      <c r="B72" s="1169"/>
      <c r="C72" s="1169"/>
      <c r="D72" s="1163"/>
      <c r="E72" s="1829"/>
      <c r="F72" s="2603"/>
      <c r="G72" s="2604"/>
      <c r="H72" s="2605" t="s">
        <v>62</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62</v>
      </c>
      <c r="Z72" s="1810"/>
      <c r="AA72" s="1794">
        <v>1</v>
      </c>
      <c r="AB72" s="1245"/>
      <c r="AD72" s="1639" t="s">
        <v>1981</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1020</v>
      </c>
    </row>
    <row r="75" s="1817" customFormat="1" customHeight="1" ht="11.25">
      <c r="A75" s="1817" t="s">
        <v>1982</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1981</v>
      </c>
    </row>
    <row r="79" s="1817" customFormat="1" customHeight="1" ht="11.25">
      <c r="A79" s="1817" t="s">
        <v>1983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377</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1058</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1984</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1064</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1985</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1986</v>
      </c>
    </row>
    <row r="101" s="1638" customFormat="1" customHeight="1" ht="11.25">
      <c r="A101" s="1169"/>
      <c r="B101" s="1169"/>
      <c r="C101" s="1169"/>
      <c r="D101" s="1163"/>
      <c r="E101" s="1173"/>
      <c r="F101" s="1831"/>
      <c r="G101" s="1832"/>
      <c r="H101" s="2537" t="s">
        <v>99</v>
      </c>
      <c r="I101" s="2538"/>
      <c r="J101" s="2507"/>
      <c r="K101" s="2539"/>
      <c r="L101" s="2129" t="s">
        <v>19</v>
      </c>
      <c r="M101" s="2130"/>
      <c r="N101" s="1986"/>
      <c r="O101" s="1180" t="s">
        <v>377</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1064</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1065</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1987</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1172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1988</v>
      </c>
    </row>
    <row r="115" s="1850" customFormat="1" customHeight="1" ht="15" hidden="1">
      <c r="A115" s="626"/>
      <c r="B115" s="627"/>
      <c r="C115" s="627"/>
      <c r="D115" s="2600" t="s">
        <v>99</v>
      </c>
      <c r="E115" s="2399" t="s">
        <v>105</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612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hidden="1">
      <c r="A116" s="626"/>
      <c r="B116" s="627"/>
      <c r="C116" s="627"/>
      <c r="D116" s="2601"/>
      <c r="E116" s="2399" t="s">
        <v>563</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hidden="1">
      <c r="A117" s="626"/>
      <c r="B117" s="627"/>
      <c r="C117" s="627"/>
      <c r="D117" s="2601"/>
      <c r="E117" s="2399" t="s">
        <v>564</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hidden="1">
      <c r="A118" s="1808"/>
      <c r="B118" s="1163"/>
      <c r="C118" s="415"/>
      <c r="D118" s="2601"/>
      <c r="E118" s="2398" t="s">
        <v>613</v>
      </c>
      <c r="F118" s="2398"/>
      <c r="G118" s="2398"/>
      <c r="H118" s="2398"/>
      <c r="I118" s="2398"/>
      <c r="J118" s="2398"/>
      <c r="K118" s="2398"/>
      <c r="L118" s="2398"/>
      <c r="M118" s="2398"/>
      <c r="N118" s="2398"/>
      <c r="O118" s="2398"/>
      <c r="P118" s="2398"/>
      <c r="Q118" s="561">
        <f>SUMIF(T119:T120,"i",Q119:Q120)</f>
        <v>0</v>
      </c>
      <c r="R118" s="1020"/>
      <c r="S118" s="1800" t="s">
        <v>614</v>
      </c>
      <c r="T118" s="720" t="s">
        <v>615</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hidden="1">
      <c r="A120" s="1808"/>
      <c r="B120" s="1163"/>
      <c r="C120" s="415"/>
      <c r="D120" s="2601"/>
      <c r="E120" s="652" t="s">
        <v>22</v>
      </c>
      <c r="F120" s="1171" t="s">
        <v>22</v>
      </c>
      <c r="G120" s="1171" t="s">
        <v>618</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hidden="1">
      <c r="A121" s="1808"/>
      <c r="B121" s="1163"/>
      <c r="C121" s="415"/>
      <c r="D121" s="2601"/>
      <c r="E121" s="2398" t="s">
        <v>616</v>
      </c>
      <c r="F121" s="2398"/>
      <c r="G121" s="2398"/>
      <c r="H121" s="2398"/>
      <c r="I121" s="2398"/>
      <c r="J121" s="2398"/>
      <c r="K121" s="2398"/>
      <c r="L121" s="2398"/>
      <c r="M121" s="2398"/>
      <c r="N121" s="2398"/>
      <c r="O121" s="2398"/>
      <c r="P121" s="2398"/>
      <c r="Q121" s="561">
        <f>SUMIF(T122:T123,"i",Q122:Q123)</f>
        <v>0</v>
      </c>
      <c r="R121" s="1020"/>
      <c r="S121" s="1800" t="s">
        <v>617</v>
      </c>
      <c r="T121" s="720" t="s">
        <v>615</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hidden="1">
      <c r="A123" s="1808"/>
      <c r="B123" s="1163"/>
      <c r="C123" s="415"/>
      <c r="D123" s="2602"/>
      <c r="E123" s="652" t="s">
        <v>22</v>
      </c>
      <c r="F123" s="1171" t="s">
        <v>22</v>
      </c>
      <c r="G123" s="1171" t="s">
        <v>618</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1989</v>
      </c>
    </row>
    <row r="127" s="1850" customFormat="1" customHeight="1" ht="15">
      <c r="A127" s="626"/>
      <c r="B127" s="627"/>
      <c r="C127" s="627"/>
      <c r="D127" s="2600" t="s">
        <v>99</v>
      </c>
      <c r="E127" s="2399" t="s">
        <v>105</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612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601"/>
      <c r="E128" s="2399" t="s">
        <v>563</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601"/>
      <c r="E129" s="2399" t="s">
        <v>564</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601"/>
      <c r="E130" s="2398" t="s">
        <v>613</v>
      </c>
      <c r="F130" s="2398"/>
      <c r="G130" s="2398"/>
      <c r="H130" s="2398"/>
      <c r="I130" s="2398"/>
      <c r="J130" s="2398"/>
      <c r="K130" s="2398"/>
      <c r="L130" s="2398"/>
      <c r="M130" s="2398"/>
      <c r="N130" s="2398"/>
      <c r="O130" s="2398"/>
      <c r="P130" s="2398"/>
      <c r="Q130" s="561">
        <f>SUMIF(T131:T132,"i",Q131:Q132)</f>
        <v>0</v>
      </c>
      <c r="R130" s="1020"/>
      <c r="S130" s="1800" t="s">
        <v>614</v>
      </c>
      <c r="T130" s="720" t="s">
        <v>615</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601"/>
      <c r="E132" s="652" t="s">
        <v>22</v>
      </c>
      <c r="F132" s="1171" t="s">
        <v>22</v>
      </c>
      <c r="G132" s="1171" t="s">
        <v>618</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615</v>
      </c>
      <c r="U133" s="2396">
        <v>1</v>
      </c>
      <c r="V133" s="2396" t="s">
        <v>574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1990</v>
      </c>
    </row>
    <row r="139" s="1850" customFormat="1" customHeight="1" ht="45">
      <c r="A139" s="1808"/>
      <c r="B139" s="1163"/>
      <c r="C139" s="415"/>
      <c r="D139" s="92"/>
      <c r="E139" s="2594"/>
      <c r="F139" s="2130" t="s">
        <v>99</v>
      </c>
      <c r="G139" s="2597" t="s">
        <v>22</v>
      </c>
      <c r="H139" s="292"/>
      <c r="I139" s="640" t="s">
        <v>99</v>
      </c>
      <c r="J139" s="1809" t="s">
        <v>1991</v>
      </c>
      <c r="K139" s="641" t="s">
        <v>545</v>
      </c>
      <c r="L139" s="2246" t="s">
        <v>545</v>
      </c>
      <c r="M139" s="2599"/>
      <c r="N139" s="641" t="s">
        <v>545</v>
      </c>
      <c r="O139" s="641" t="s">
        <v>545</v>
      </c>
      <c r="P139" s="641" t="s">
        <v>545</v>
      </c>
      <c r="Q139" s="642">
        <f>SUM(Q140:Q142)</f>
        <v>0</v>
      </c>
      <c r="R139" s="642">
        <f>IF(R136=0,0,(Q136/R136)*100)</f>
        <v>0</v>
      </c>
      <c r="S139" s="2201"/>
      <c r="T139" s="720" t="s">
        <v>615</v>
      </c>
      <c r="U139" s="92"/>
      <c r="V139" s="92"/>
      <c r="AC139" s="92"/>
    </row>
    <row s="1850" customFormat="1" customHeight="1" ht="11.25">
      <c r="A140" s="1808"/>
      <c r="B140" s="1163"/>
      <c r="C140" s="415"/>
      <c r="D140" s="92"/>
      <c r="E140" s="2595"/>
      <c r="F140" s="2130"/>
      <c r="G140" s="2597"/>
      <c r="H140" s="2149"/>
      <c r="I140" s="2537" t="s">
        <v>1077</v>
      </c>
      <c r="J140" s="2591"/>
      <c r="K140" s="2592"/>
      <c r="L140" s="643"/>
      <c r="M140" s="644" t="s">
        <v>99</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1992</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1993</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1077</v>
      </c>
      <c r="J147" s="2591"/>
      <c r="K147" s="2592"/>
      <c r="L147" s="643"/>
      <c r="M147" s="644" t="s">
        <v>99</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1992</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99</v>
      </c>
      <c r="N150" s="1797"/>
      <c r="O150" s="645"/>
      <c r="P150" s="646"/>
      <c r="Q150" s="645"/>
      <c r="R150" s="647">
        <v>0</v>
      </c>
      <c r="S150" s="92"/>
      <c r="T150" s="720"/>
      <c r="U150" s="92"/>
      <c r="V150" s="92"/>
      <c r="AC150" s="92"/>
    </row>
    <row r="152" s="1817" customFormat="1" customHeight="1" ht="17.25">
      <c r="A152" s="1817" t="s">
        <v>1994</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62</v>
      </c>
      <c r="L154" s="2130"/>
      <c r="M154" s="2130" t="s">
        <v>99</v>
      </c>
      <c r="N154" s="2526" t="str">
        <f>IF(Z154="","",INDEX(TERRITORY_MR_LIST,MATCH(Z154,TERRITORY_LIST_ID,0)))</f>
        <v/>
      </c>
      <c r="O154" s="2207" t="s">
        <v>62</v>
      </c>
      <c r="P154" s="2130"/>
      <c r="Q154" s="2130" t="s">
        <v>99</v>
      </c>
      <c r="R154" s="2524" t="s">
        <v>22</v>
      </c>
      <c r="S154" s="2129" t="s">
        <v>62</v>
      </c>
      <c r="T154" s="1813"/>
      <c r="U154" s="1813" t="s">
        <v>99</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415</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416</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417</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445</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62</v>
      </c>
      <c r="L160" s="2130"/>
      <c r="M160" s="2130" t="s">
        <v>99</v>
      </c>
      <c r="N160" s="2526" t="str">
        <f>IF(Z160="","",INDEX(TERRITORY_MR_LIST,MATCH(Z160,TERRITORY_LIST_ID,0)))</f>
        <v/>
      </c>
      <c r="O160" s="2207" t="s">
        <v>62</v>
      </c>
      <c r="P160" s="2130"/>
      <c r="Q160" s="2130" t="s">
        <v>99</v>
      </c>
      <c r="R160" s="2524" t="s">
        <v>22</v>
      </c>
      <c r="S160" s="2129" t="s">
        <v>62</v>
      </c>
      <c r="T160" s="1813"/>
      <c r="U160" s="1813" t="s">
        <v>99</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415</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416</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417</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99</v>
      </c>
      <c r="N165" s="2526" t="str">
        <f>IF(Z165="","",INDEX(TERRITORY_MR_LIST,MATCH(Z165,TERRITORY_LIST_ID,0)))</f>
        <v/>
      </c>
      <c r="O165" s="2207" t="s">
        <v>62</v>
      </c>
      <c r="P165" s="2130"/>
      <c r="Q165" s="2130" t="s">
        <v>99</v>
      </c>
      <c r="R165" s="2524" t="s">
        <v>22</v>
      </c>
      <c r="S165" s="2129" t="s">
        <v>62</v>
      </c>
      <c r="T165" s="1813"/>
      <c r="U165" s="1813" t="s">
        <v>99</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415</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416</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99</v>
      </c>
      <c r="R169" s="2524" t="s">
        <v>22</v>
      </c>
      <c r="S169" s="2129" t="s">
        <v>62</v>
      </c>
      <c r="T169" s="1813"/>
      <c r="U169" s="1813" t="s">
        <v>99</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415</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99</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1995</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62</v>
      </c>
      <c r="L176" s="2130"/>
      <c r="M176" s="2130" t="s">
        <v>99</v>
      </c>
      <c r="N176" s="2526" t="str">
        <f>IF(Z176="","",INDEX(TERRITORY_MR_LIST,MATCH(Z176,TERRITORY_LIST_ID,0)))</f>
        <v/>
      </c>
      <c r="O176" s="2207" t="s">
        <v>62</v>
      </c>
      <c r="P176" s="2130"/>
      <c r="Q176" s="2130" t="s">
        <v>99</v>
      </c>
      <c r="R176" s="2524" t="s">
        <v>22</v>
      </c>
      <c r="S176" s="2428" t="s">
        <v>19</v>
      </c>
      <c r="T176" s="1804"/>
      <c r="U176" s="1804" t="s">
        <v>99</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416</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417</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445</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62</v>
      </c>
      <c r="L182" s="2130"/>
      <c r="M182" s="2130" t="s">
        <v>99</v>
      </c>
      <c r="N182" s="2526" t="str">
        <f>IF(Z182="","",INDEX(TERRITORY_MR_LIST,MATCH(Z182,TERRITORY_LIST_ID,0)))</f>
        <v/>
      </c>
      <c r="O182" s="2207" t="s">
        <v>62</v>
      </c>
      <c r="P182" s="2130"/>
      <c r="Q182" s="2130" t="s">
        <v>99</v>
      </c>
      <c r="R182" s="2524" t="s">
        <v>22</v>
      </c>
      <c r="S182" s="2428" t="s">
        <v>19</v>
      </c>
      <c r="T182" s="1804"/>
      <c r="U182" s="1804" t="s">
        <v>99</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416</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417</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99</v>
      </c>
      <c r="N187" s="2526" t="str">
        <f>IF(Z187="","",INDEX(TERRITORY_MR_LIST,MATCH(Z187,TERRITORY_LIST_ID,0)))</f>
        <v/>
      </c>
      <c r="O187" s="2207" t="s">
        <v>62</v>
      </c>
      <c r="P187" s="2130"/>
      <c r="Q187" s="2130" t="s">
        <v>99</v>
      </c>
      <c r="R187" s="2524" t="s">
        <v>22</v>
      </c>
      <c r="S187" s="2428" t="s">
        <v>19</v>
      </c>
      <c r="T187" s="1804"/>
      <c r="U187" s="1804" t="s">
        <v>99</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416</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99</v>
      </c>
      <c r="R191" s="2524" t="s">
        <v>22</v>
      </c>
      <c r="S191" s="2428" t="s">
        <v>19</v>
      </c>
      <c r="T191" s="1804"/>
      <c r="U191" s="1804" t="s">
        <v>99</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1996</v>
      </c>
    </row>
    <row customHeight="1" ht="17.25">
      <c r="G201" s="1839"/>
      <c r="H201" s="1839"/>
      <c r="I201" s="1839"/>
      <c r="M201" s="1835"/>
    </row>
    <row s="1850" customFormat="1" customHeight="1" ht="15">
      <c r="D202" s="2545"/>
      <c r="E202" s="2221"/>
      <c r="F202" s="2221"/>
      <c r="G202" s="2207"/>
      <c r="H202" s="1567"/>
      <c r="I202" s="2549">
        <v>1</v>
      </c>
      <c r="J202" s="2523"/>
      <c r="K202" s="1582"/>
      <c r="L202" s="2207" t="s">
        <v>62</v>
      </c>
      <c r="M202" s="2207" t="s">
        <v>62</v>
      </c>
      <c r="N202" s="1567"/>
      <c r="O202" s="2130" t="s">
        <v>99</v>
      </c>
      <c r="P202" s="2539"/>
      <c r="Q202" s="1583"/>
      <c r="R202" s="2207" t="s">
        <v>62</v>
      </c>
      <c r="S202" s="2207" t="s">
        <v>62</v>
      </c>
      <c r="T202" s="1855"/>
      <c r="U202" s="2130" t="s">
        <v>99</v>
      </c>
      <c r="V202" s="2546" t="str">
        <f>IF(AK202="","",INDEX(TERRITORY_MR_LIST,MATCH(AK202,TERRITORY_LIST_ID,0)))</f>
        <v/>
      </c>
      <c r="W202" s="1584"/>
      <c r="X202" s="2207" t="s">
        <v>62</v>
      </c>
      <c r="Y202" s="2207" t="s">
        <v>19</v>
      </c>
      <c r="Z202" s="1567"/>
      <c r="AA202" s="2130" t="s">
        <v>99</v>
      </c>
      <c r="AB202" s="2548"/>
      <c r="AC202" s="1585"/>
      <c r="AD202" s="2207" t="s">
        <v>62</v>
      </c>
      <c r="AE202" s="2207" t="s">
        <v>19</v>
      </c>
      <c r="AF202" s="1565"/>
      <c r="AG202" s="1813" t="s">
        <v>99</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1997</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1998</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103</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1999</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445</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10765-50D9-0A99-E6B8-0.791C9E0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2000</v>
      </c>
      <c r="B1" s="849"/>
      <c r="C1" s="985" t="s">
        <v>2001</v>
      </c>
      <c r="D1" s="983" t="s">
        <v>829</v>
      </c>
      <c r="E1" s="983" t="s">
        <v>875</v>
      </c>
      <c r="F1" s="983" t="s">
        <v>929</v>
      </c>
      <c r="G1" s="983" t="s">
        <v>916</v>
      </c>
      <c r="H1" s="983" t="s">
        <v>1681</v>
      </c>
    </row>
    <row customHeight="1" ht="9">
      <c r="A2" s="986" t="s">
        <v>2002</v>
      </c>
      <c r="B2" s="986"/>
      <c r="C2" s="987" t="str">
        <f>INDEX(TEMPLATE_NUMBER_FORM_LIST,MATCH(TEMPLATE_SPHERE,TEMPLATE_SPHERE_LIST,0))</f>
        <v>10</v>
      </c>
      <c r="D2" s="986" t="s">
        <v>1530</v>
      </c>
      <c r="E2" s="986" t="s">
        <v>152</v>
      </c>
      <c r="F2" s="988" t="s">
        <v>152</v>
      </c>
      <c r="G2" s="986" t="s">
        <v>152</v>
      </c>
      <c r="H2" s="989"/>
    </row>
    <row customHeight="1" ht="63">
      <c r="A3" s="849"/>
      <c r="B3" s="849" t="s">
        <v>99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2003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2004</v>
      </c>
      <c r="B4" s="849" t="s">
        <v>109</v>
      </c>
      <c r="C4" s="987" t="str">
        <f>IF(TEMPLATE_SPHERE="HEAT",D4,IF(TEMPLATE_SPHERE="TKO",H4,E4))</f>
        <v>Форма 1. Информация об организации, осуществляющей холодное водоснабжение (общая информация)</v>
      </c>
      <c r="D4" s="986" t="s">
        <v>2005</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2006</v>
      </c>
    </row>
    <row customHeight="1" ht="117">
      <c r="A5" s="849" t="s">
        <v>2007</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2008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2009</v>
      </c>
    </row>
    <row customHeight="1" ht="90">
      <c r="A6" s="849" t="s">
        <v>2010</v>
      </c>
      <c r="B6" s="849" t="s">
        <v>91</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2011</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2012</v>
      </c>
      <c r="E7" s="849" t="s">
        <v>2013</v>
      </c>
      <c r="F7" s="989"/>
      <c r="G7" s="989"/>
      <c r="H7" s="989"/>
    </row>
    <row customHeight="1" ht="108">
      <c r="A8" s="849" t="s">
        <v>2014</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1216</v>
      </c>
      <c r="E8" s="849" t="s">
        <v>2015</v>
      </c>
      <c r="F8" s="989"/>
      <c r="G8" s="989"/>
      <c r="H8" s="989"/>
    </row>
    <row customHeight="1" ht="99">
      <c r="A9" s="849" t="s">
        <v>2016</v>
      </c>
      <c r="B9" s="849"/>
      <c r="C9" s="849" t="s">
        <v>2017</v>
      </c>
      <c r="D9" s="849"/>
      <c r="E9" s="849"/>
      <c r="F9" s="989"/>
      <c r="G9" s="989"/>
      <c r="H9" s="989"/>
    </row>
    <row customHeight="1" ht="126">
      <c r="A10" s="849" t="s">
        <v>2018</v>
      </c>
      <c r="B10" s="849"/>
      <c r="C10" s="849" t="s">
        <v>2019</v>
      </c>
      <c r="D10" s="849"/>
      <c r="E10" s="849"/>
      <c r="F10" s="989"/>
      <c r="G10" s="989"/>
      <c r="H10" s="989"/>
    </row>
    <row customHeight="1" ht="108">
      <c r="A11" s="849" t="s">
        <v>2020</v>
      </c>
      <c r="B11" s="849"/>
      <c r="C11" s="849" t="s">
        <v>2021</v>
      </c>
      <c r="D11" s="849"/>
      <c r="E11" s="849"/>
      <c r="F11" s="989"/>
      <c r="G11" s="989"/>
      <c r="H11" s="989"/>
    </row>
    <row customHeight="1" ht="54">
      <c r="A12" s="849" t="s">
        <v>2022</v>
      </c>
      <c r="B12" s="849"/>
      <c r="C12" s="849" t="s">
        <v>2023</v>
      </c>
      <c r="D12" s="849"/>
      <c r="E12" s="849"/>
      <c r="F12" s="989"/>
      <c r="G12" s="989"/>
      <c r="H12" s="989"/>
    </row>
    <row customHeight="1" ht="45">
      <c r="A13" s="849" t="s">
        <v>2024</v>
      </c>
      <c r="B13" s="849"/>
      <c r="C13" s="849" t="s">
        <v>2025</v>
      </c>
      <c r="D13" s="849"/>
      <c r="E13" s="849"/>
      <c r="F13" s="989"/>
      <c r="G13" s="989"/>
      <c r="H13" s="989"/>
    </row>
    <row customHeight="1" ht="117">
      <c r="A14" s="849" t="s">
        <v>2026</v>
      </c>
      <c r="B14" s="849"/>
      <c r="C14" s="849" t="s">
        <v>2027</v>
      </c>
      <c r="D14" s="849"/>
      <c r="E14" s="849"/>
      <c r="F14" s="989"/>
      <c r="G14" s="989"/>
      <c r="H14" s="989"/>
    </row>
    <row customHeight="1" ht="117">
      <c r="A15" s="849" t="s">
        <v>2028</v>
      </c>
      <c r="B15" s="849"/>
      <c r="C15" s="849" t="s">
        <v>2029</v>
      </c>
      <c r="D15" s="849"/>
      <c r="E15" s="849"/>
      <c r="F15" s="989"/>
      <c r="G15" s="989"/>
      <c r="H15" s="989"/>
    </row>
    <row customHeight="1" ht="63">
      <c r="A16" s="849" t="s">
        <v>2030</v>
      </c>
      <c r="B16" s="849"/>
      <c r="C16" s="849" t="s">
        <v>2031</v>
      </c>
      <c r="D16" s="849"/>
      <c r="E16" s="849"/>
      <c r="F16" s="989"/>
      <c r="G16" s="989"/>
      <c r="H16" s="989"/>
    </row>
    <row customHeight="1" ht="54">
      <c r="A17" s="849" t="s">
        <v>2032</v>
      </c>
      <c r="B17" s="849"/>
      <c r="C17" s="987" t="s">
        <v>2033</v>
      </c>
      <c r="D17" s="849"/>
      <c r="E17" s="849"/>
      <c r="F17" s="989"/>
      <c r="G17" s="989"/>
      <c r="H17" s="989"/>
    </row>
    <row customHeight="1" ht="27">
      <c r="A18" s="849" t="s">
        <v>2034</v>
      </c>
      <c r="B18" s="849"/>
      <c r="C18" s="987" t="s">
        <v>2035</v>
      </c>
      <c r="D18" s="849"/>
      <c r="E18" s="849"/>
      <c r="F18" s="989"/>
      <c r="G18" s="989"/>
      <c r="H18" s="989"/>
    </row>
    <row customHeight="1" ht="54">
      <c r="A19" s="849" t="s">
        <v>2036</v>
      </c>
      <c r="B19" s="849"/>
      <c r="C19" s="987" t="s">
        <v>2037</v>
      </c>
      <c r="D19" s="849"/>
      <c r="E19" s="849"/>
      <c r="F19" s="989"/>
      <c r="G19" s="989"/>
      <c r="H19" s="989"/>
    </row>
    <row customHeight="1" ht="36">
      <c r="A20" s="849" t="s">
        <v>2038</v>
      </c>
      <c r="B20" s="849"/>
      <c r="C20" s="987" t="s">
        <v>2039</v>
      </c>
      <c r="D20" s="849"/>
      <c r="E20" s="849"/>
      <c r="F20" s="989"/>
      <c r="G20" s="989"/>
      <c r="H20" s="989"/>
    </row>
    <row customHeight="1" ht="36">
      <c r="A21" s="849" t="s">
        <v>2040</v>
      </c>
      <c r="B21" s="849"/>
      <c r="C21" s="987" t="s">
        <v>2041</v>
      </c>
      <c r="D21" s="849"/>
      <c r="E21" s="849"/>
      <c r="F21" s="989"/>
      <c r="G21" s="989"/>
      <c r="H21" s="989"/>
    </row>
    <row customHeight="1" ht="27">
      <c r="A22" s="849" t="s">
        <v>2042</v>
      </c>
      <c r="B22" s="849"/>
      <c r="C22" s="987" t="s">
        <v>2043</v>
      </c>
      <c r="D22" s="849"/>
      <c r="E22" s="849"/>
      <c r="F22" s="989"/>
      <c r="G22" s="989"/>
      <c r="H22" s="989"/>
    </row>
    <row customHeight="1" ht="36">
      <c r="A23" s="849" t="s">
        <v>2044</v>
      </c>
      <c r="B23" s="849"/>
      <c r="C23" s="987" t="s">
        <v>2045</v>
      </c>
      <c r="D23" s="849"/>
      <c r="E23" s="849"/>
      <c r="F23" s="989"/>
      <c r="G23" s="989"/>
      <c r="H23" s="989"/>
    </row>
    <row customHeight="1" ht="28.5">
      <c r="A24" s="849" t="s">
        <v>2046</v>
      </c>
      <c r="B24" s="849"/>
      <c r="C24" s="987" t="s">
        <v>2047</v>
      </c>
      <c r="D24" s="849"/>
      <c r="E24" s="849"/>
      <c r="F24" s="989"/>
      <c r="G24" s="989"/>
      <c r="H24" s="989"/>
    </row>
    <row customHeight="1" ht="36">
      <c r="A25" s="849" t="s">
        <v>2048</v>
      </c>
      <c r="B25" s="849"/>
      <c r="C25" s="987" t="s">
        <v>2049</v>
      </c>
      <c r="D25" s="849"/>
      <c r="E25" s="849"/>
      <c r="F25" s="989"/>
      <c r="G25" s="989"/>
      <c r="H25" s="989"/>
    </row>
    <row customHeight="1" ht="27">
      <c r="A26" s="849" t="s">
        <v>2050</v>
      </c>
      <c r="B26" s="849"/>
      <c r="C26" s="987" t="s">
        <v>2051</v>
      </c>
      <c r="D26" s="849"/>
      <c r="E26" s="849"/>
      <c r="F26" s="989"/>
      <c r="G26" s="989"/>
      <c r="H26" s="989"/>
    </row>
    <row customHeight="1" ht="36">
      <c r="A27" s="849" t="s">
        <v>2052</v>
      </c>
      <c r="B27" s="849"/>
      <c r="C27" s="987" t="s">
        <v>2053</v>
      </c>
      <c r="D27" s="849"/>
      <c r="E27" s="849"/>
      <c r="F27" s="989"/>
      <c r="G27" s="989"/>
      <c r="H27" s="989"/>
    </row>
    <row customHeight="1" ht="28.5">
      <c r="A28" s="849" t="s">
        <v>2054</v>
      </c>
      <c r="B28" s="849"/>
      <c r="C28" s="987" t="s">
        <v>2055</v>
      </c>
      <c r="D28" s="849"/>
      <c r="E28" s="849"/>
      <c r="F28" s="989"/>
      <c r="G28" s="989"/>
      <c r="H28" s="989"/>
    </row>
    <row customHeight="1" ht="126">
      <c r="A29" s="849" t="s">
        <v>2056</v>
      </c>
      <c r="B29" s="849" t="s">
        <v>1632</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2057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2058</v>
      </c>
    </row>
    <row customHeight="1" ht="36">
      <c r="A30" s="849" t="s">
        <v>2059</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2060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2061</v>
      </c>
      <c r="B31" s="849"/>
      <c r="C31" s="987" t="str">
        <f>IF(TEMPLATE_SPHERE="HEAT",D31,IF(TEMPLATE_SPHERE="TKO",H31,E31))</f>
        <v>Форма 1. Информация об организации, осуществляющей холодное водоснабжение (общая информация)</v>
      </c>
      <c r="D31" s="849" t="s">
        <v>2062</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2063</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2064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2065</v>
      </c>
    </row>
    <row customHeight="1" ht="9">
      <c r="A33" s="849"/>
      <c r="B33" s="849"/>
      <c r="C33" s="987"/>
      <c r="D33" s="849"/>
      <c r="E33" s="849"/>
      <c r="F33" s="989"/>
      <c r="G33" s="989"/>
      <c r="H33" s="989"/>
    </row>
    <row customHeight="1" ht="9">
      <c r="A34" s="849"/>
      <c r="B34" s="849" t="s">
        <v>1568</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AE8777-534E-C89A-2668-0.62CCEED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2066</v>
      </c>
      <c r="D1" s="901"/>
      <c r="E1" s="901"/>
      <c r="F1" s="901"/>
      <c r="G1" s="901"/>
      <c r="H1" s="901" t="s">
        <v>2067</v>
      </c>
      <c r="I1" s="901"/>
      <c r="J1" s="901"/>
      <c r="K1" s="901"/>
      <c r="L1" s="901"/>
      <c r="M1" s="901" t="s">
        <v>2068</v>
      </c>
      <c r="N1" s="901" t="s">
        <v>2069</v>
      </c>
      <c r="O1" s="2614" t="s">
        <v>2070</v>
      </c>
      <c r="P1" s="2614"/>
      <c r="Q1" s="2614"/>
      <c r="R1" s="2614"/>
      <c r="S1" s="2614"/>
      <c r="T1" s="2614" t="s">
        <v>2068</v>
      </c>
      <c r="U1" s="2614"/>
      <c r="V1" s="2614"/>
      <c r="W1" s="2614"/>
      <c r="X1" s="2614"/>
      <c r="Y1" s="1002"/>
      <c r="Z1" s="2614" t="s">
        <v>2071</v>
      </c>
      <c r="AA1" s="2614"/>
      <c r="AB1" s="2614"/>
      <c r="AC1" s="2614"/>
      <c r="AD1" s="2614"/>
    </row>
    <row customHeight="1" ht="18">
      <c r="A2" s="849"/>
      <c r="B2" s="849"/>
      <c r="C2" s="844" t="s">
        <v>829</v>
      </c>
      <c r="D2" s="844" t="s">
        <v>875</v>
      </c>
      <c r="E2" s="844" t="s">
        <v>929</v>
      </c>
      <c r="F2" s="844" t="s">
        <v>916</v>
      </c>
      <c r="G2" s="844" t="s">
        <v>1681</v>
      </c>
      <c r="H2" s="846"/>
      <c r="I2" s="846"/>
      <c r="J2" s="846"/>
      <c r="K2" s="846"/>
      <c r="L2" s="846"/>
      <c r="M2" s="846"/>
      <c r="N2" s="846"/>
      <c r="O2" s="844" t="s">
        <v>829</v>
      </c>
      <c r="P2" s="844" t="s">
        <v>875</v>
      </c>
      <c r="Q2" s="844" t="s">
        <v>916</v>
      </c>
      <c r="R2" s="844" t="s">
        <v>929</v>
      </c>
      <c r="S2" s="844" t="s">
        <v>1681</v>
      </c>
      <c r="T2" s="844" t="s">
        <v>829</v>
      </c>
      <c r="U2" s="844" t="s">
        <v>875</v>
      </c>
      <c r="V2" s="844" t="s">
        <v>916</v>
      </c>
      <c r="W2" s="844" t="s">
        <v>929</v>
      </c>
      <c r="X2" s="844" t="s">
        <v>1681</v>
      </c>
      <c r="Y2" s="844"/>
      <c r="Z2" s="844" t="s">
        <v>829</v>
      </c>
      <c r="AA2" s="853" t="s">
        <v>875</v>
      </c>
      <c r="AB2" s="844" t="s">
        <v>916</v>
      </c>
      <c r="AC2" s="844" t="s">
        <v>929</v>
      </c>
      <c r="AD2" s="844" t="s">
        <v>1681</v>
      </c>
    </row>
    <row customHeight="1" ht="162">
      <c r="A3" s="848" t="s">
        <v>27</v>
      </c>
      <c r="B3" s="848"/>
      <c r="C3" s="2618" t="s">
        <v>2072</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2073</v>
      </c>
      <c r="AA3" s="846" t="s">
        <v>2074</v>
      </c>
      <c r="AB3" s="849" t="s">
        <v>2075</v>
      </c>
      <c r="AC3" s="849" t="s">
        <v>2076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1619</v>
      </c>
      <c r="D11" s="2621" t="s">
        <v>1615</v>
      </c>
      <c r="E11" s="2621" t="s">
        <v>1714</v>
      </c>
      <c r="F11" s="2621" t="s">
        <v>2077</v>
      </c>
      <c r="G11" s="2621"/>
      <c r="H11" s="901" t="s">
        <v>2078</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2079</v>
      </c>
      <c r="U11" s="846" t="s">
        <v>2080</v>
      </c>
      <c r="V11" s="846"/>
      <c r="W11" s="846"/>
      <c r="X11" s="846"/>
      <c r="Y11" s="1003"/>
      <c r="Z11" s="849" t="s">
        <v>2081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615"/>
      <c r="B12" s="902">
        <v>2</v>
      </c>
      <c r="C12" s="2622"/>
      <c r="D12" s="2622"/>
      <c r="E12" s="2622"/>
      <c r="F12" s="2622"/>
      <c r="G12" s="2622"/>
      <c r="H12" s="901" t="s">
        <v>2082</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2083</v>
      </c>
      <c r="U12" s="846" t="s">
        <v>2084</v>
      </c>
      <c r="V12" s="846"/>
      <c r="W12" s="846"/>
      <c r="X12" s="846"/>
      <c r="Y12" s="1003"/>
      <c r="Z12" s="849" t="s">
        <v>2085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615"/>
      <c r="B13" s="902">
        <v>3</v>
      </c>
      <c r="C13" s="2622"/>
      <c r="D13" s="2622"/>
      <c r="E13" s="2622"/>
      <c r="F13" s="2622"/>
      <c r="G13" s="2622"/>
      <c r="H13" s="2614" t="s">
        <v>2086</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2087</v>
      </c>
      <c r="U13" s="847" t="s">
        <v>2088</v>
      </c>
      <c r="V13" s="847"/>
      <c r="W13" s="847"/>
      <c r="X13" s="846"/>
      <c r="Y13" s="1003"/>
      <c r="Z13" s="849" t="s">
        <v>2089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2090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2091</v>
      </c>
      <c r="AA14" s="852" t="s">
        <v>2091</v>
      </c>
      <c r="AB14" s="849"/>
      <c r="AC14" s="849"/>
      <c r="AD14" s="849"/>
    </row>
    <row customHeight="1" ht="108">
      <c r="A15" s="2615"/>
      <c r="B15" s="902">
        <v>5</v>
      </c>
      <c r="C15" s="2622"/>
      <c r="D15" s="2622"/>
      <c r="E15" s="2622"/>
      <c r="F15" s="2622"/>
      <c r="G15" s="2622"/>
      <c r="H15" s="2616" t="s">
        <v>2092</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2093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2094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2094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1717</v>
      </c>
      <c r="B18" s="902">
        <v>1</v>
      </c>
      <c r="C18" s="846" t="s">
        <v>2078</v>
      </c>
      <c r="D18" s="970" t="s">
        <v>2078</v>
      </c>
      <c r="E18" s="846" t="s">
        <v>2078</v>
      </c>
      <c r="F18" s="846" t="s">
        <v>2078</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2095</v>
      </c>
      <c r="U18" s="849" t="s">
        <v>2096</v>
      </c>
      <c r="V18" s="849" t="s">
        <v>2097</v>
      </c>
      <c r="W18" s="849" t="s">
        <v>2098</v>
      </c>
      <c r="X18" s="846"/>
      <c r="Y18" s="1003"/>
      <c r="Z18" s="849" t="s">
        <v>2099</v>
      </c>
      <c r="AA18" s="852" t="s">
        <v>2100</v>
      </c>
      <c r="AB18" s="852" t="s">
        <v>2100</v>
      </c>
      <c r="AC18" s="852" t="s">
        <v>2100</v>
      </c>
      <c r="AD18" s="849"/>
    </row>
    <row customHeight="1" ht="36">
      <c r="A19" s="848"/>
      <c r="B19" s="902">
        <v>2</v>
      </c>
      <c r="C19" s="846" t="s">
        <v>2082</v>
      </c>
      <c r="D19" s="970" t="s">
        <v>2082</v>
      </c>
      <c r="E19" s="846" t="s">
        <v>2082</v>
      </c>
      <c r="F19" s="846" t="s">
        <v>2082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2101</v>
      </c>
      <c r="U19" s="849" t="s">
        <v>2102</v>
      </c>
      <c r="V19" s="849" t="s">
        <v>2103</v>
      </c>
      <c r="W19" s="849" t="s">
        <v>2104</v>
      </c>
      <c r="X19" s="846"/>
      <c r="Y19" s="1003"/>
      <c r="Z19" s="849" t="s">
        <v>2105</v>
      </c>
      <c r="AA19" s="852" t="s">
        <v>2105</v>
      </c>
      <c r="AB19" s="852" t="s">
        <v>2105</v>
      </c>
      <c r="AC19" s="852" t="s">
        <v>2105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712</v>
      </c>
      <c r="P20" s="960" t="s">
        <v>712</v>
      </c>
      <c r="Q20" s="960" t="s">
        <v>712</v>
      </c>
      <c r="R20" s="960" t="s">
        <v>712</v>
      </c>
      <c r="S20" s="960"/>
      <c r="T20" s="967" t="s">
        <v>2106</v>
      </c>
      <c r="U20" s="849" t="s">
        <v>2107</v>
      </c>
      <c r="V20" s="849" t="s">
        <v>2108</v>
      </c>
      <c r="W20" s="849" t="s">
        <v>2109</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308</v>
      </c>
      <c r="P21" s="960"/>
      <c r="Q21" s="960"/>
      <c r="R21" s="960"/>
      <c r="S21" s="960"/>
      <c r="T21" s="967" t="s">
        <v>2110</v>
      </c>
      <c r="U21" s="849"/>
      <c r="V21" s="849"/>
      <c r="W21" s="849"/>
      <c r="X21" s="846"/>
      <c r="Y21" s="1003"/>
      <c r="Z21" s="849" t="s">
        <v>2111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308</v>
      </c>
      <c r="R22" s="960"/>
      <c r="S22" s="960"/>
      <c r="T22" s="967"/>
      <c r="U22" s="849"/>
      <c r="V22" s="849" t="s">
        <v>2112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311</v>
      </c>
      <c r="R23" s="960"/>
      <c r="S23" s="960"/>
      <c r="T23" s="967"/>
      <c r="U23" s="849"/>
      <c r="V23" s="849" t="s">
        <v>2113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732</v>
      </c>
      <c r="R24" s="960"/>
      <c r="S24" s="960"/>
      <c r="T24" s="967"/>
      <c r="U24" s="849"/>
      <c r="V24" s="849" t="s">
        <v>2114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311</v>
      </c>
      <c r="P25" s="960" t="s">
        <v>308</v>
      </c>
      <c r="Q25" s="960" t="s">
        <v>739</v>
      </c>
      <c r="R25" s="960" t="s">
        <v>308</v>
      </c>
      <c r="S25" s="960"/>
      <c r="T25" s="967" t="s">
        <v>2115</v>
      </c>
      <c r="U25" s="849" t="s">
        <v>2115</v>
      </c>
      <c r="V25" s="849" t="s">
        <v>2115</v>
      </c>
      <c r="W25" s="849" t="s">
        <v>2115</v>
      </c>
      <c r="X25" s="846"/>
      <c r="Y25" s="1003"/>
      <c r="Z25" s="849"/>
      <c r="AA25" s="852"/>
      <c r="AB25" s="849"/>
      <c r="AC25" s="849"/>
      <c r="AD25" s="849"/>
    </row>
    <row customHeight="1" ht="18">
      <c r="A26" s="848"/>
      <c r="B26" s="902">
        <v>9</v>
      </c>
      <c r="C26" s="846" t="s">
        <v>656</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728</v>
      </c>
      <c r="P26" s="960" t="s">
        <v>722</v>
      </c>
      <c r="Q26" s="960" t="s">
        <v>2116</v>
      </c>
      <c r="R26" s="960" t="s">
        <v>722</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2117</v>
      </c>
      <c r="V26" s="967" t="s">
        <v>2117</v>
      </c>
      <c r="W26" s="967" t="s">
        <v>2117</v>
      </c>
      <c r="X26" s="846"/>
      <c r="Y26" s="1003"/>
      <c r="Z26" s="849"/>
      <c r="AA26" s="852"/>
      <c r="AB26" s="849"/>
      <c r="AC26" s="849"/>
      <c r="AD26" s="849"/>
    </row>
    <row customHeight="1" ht="18">
      <c r="A27" s="848"/>
      <c r="B27" s="902">
        <v>10</v>
      </c>
      <c r="C27" s="846" t="s">
        <v>660</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730</v>
      </c>
      <c r="P27" s="960" t="s">
        <v>724</v>
      </c>
      <c r="Q27" s="960" t="s">
        <v>2118</v>
      </c>
      <c r="R27" s="960" t="s">
        <v>724</v>
      </c>
      <c r="S27" s="960"/>
      <c r="T27" s="967" t="s">
        <v>2119</v>
      </c>
      <c r="U27" s="967" t="s">
        <v>2119</v>
      </c>
      <c r="V27" s="967" t="s">
        <v>2119</v>
      </c>
      <c r="W27" s="967" t="s">
        <v>2119</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732</v>
      </c>
      <c r="P28" s="960"/>
      <c r="Q28" s="960"/>
      <c r="R28" s="960"/>
      <c r="S28" s="960"/>
      <c r="T28" s="967" t="s">
        <v>2120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739</v>
      </c>
      <c r="P29" s="960" t="s">
        <v>311</v>
      </c>
      <c r="Q29" s="960"/>
      <c r="R29" s="960" t="s">
        <v>311</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2121</v>
      </c>
      <c r="V29" s="849"/>
      <c r="W29" s="849" t="s">
        <v>2121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741</v>
      </c>
      <c r="P30" s="960" t="s">
        <v>732</v>
      </c>
      <c r="Q30" s="960" t="s">
        <v>741</v>
      </c>
      <c r="R30" s="960" t="s">
        <v>732</v>
      </c>
      <c r="S30" s="960"/>
      <c r="T30" s="967" t="s">
        <v>2122</v>
      </c>
      <c r="U30" s="849" t="s">
        <v>2122</v>
      </c>
      <c r="V30" s="849" t="s">
        <v>2122</v>
      </c>
      <c r="W30" s="849" t="s">
        <v>2122</v>
      </c>
      <c r="X30" s="846"/>
      <c r="Y30" s="1003"/>
      <c r="Z30" s="849"/>
      <c r="AA30" s="852" t="s">
        <v>2123</v>
      </c>
      <c r="AB30" s="852" t="s">
        <v>2123</v>
      </c>
      <c r="AC30" s="852" t="s">
        <v>2123</v>
      </c>
      <c r="AD30" s="849"/>
    </row>
    <row customHeight="1" ht="18">
      <c r="A31" s="848"/>
      <c r="B31" s="902">
        <v>14</v>
      </c>
      <c r="C31" s="846" t="s">
        <v>2124</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2125</v>
      </c>
      <c r="P31" s="960" t="s">
        <v>735</v>
      </c>
      <c r="Q31" s="960" t="s">
        <v>2125</v>
      </c>
      <c r="R31" s="960" t="s">
        <v>735</v>
      </c>
      <c r="S31" s="960"/>
      <c r="T31" s="968" t="s">
        <v>2126</v>
      </c>
      <c r="U31" s="849" t="s">
        <v>2126</v>
      </c>
      <c r="V31" s="849" t="s">
        <v>2126</v>
      </c>
      <c r="W31" s="849" t="s">
        <v>2126</v>
      </c>
      <c r="X31" s="846"/>
      <c r="Y31" s="1003"/>
      <c r="Z31" s="849"/>
      <c r="AA31" s="852"/>
      <c r="AB31" s="852"/>
      <c r="AC31" s="852"/>
      <c r="AD31" s="849"/>
    </row>
    <row customHeight="1" ht="36">
      <c r="A32" s="848"/>
      <c r="B32" s="902">
        <v>15</v>
      </c>
      <c r="C32" s="846" t="s">
        <v>2127</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2128</v>
      </c>
      <c r="P32" s="960" t="s">
        <v>737</v>
      </c>
      <c r="Q32" s="960" t="s">
        <v>2128</v>
      </c>
      <c r="R32" s="960" t="s">
        <v>737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2129</v>
      </c>
      <c r="V32" s="849" t="s">
        <v>2129</v>
      </c>
      <c r="W32" s="849" t="s">
        <v>2129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743</v>
      </c>
      <c r="P33" s="960" t="s">
        <v>739</v>
      </c>
      <c r="Q33" s="960" t="s">
        <v>743</v>
      </c>
      <c r="R33" s="960" t="s">
        <v>739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2130</v>
      </c>
      <c r="V33" s="849" t="s">
        <v>2130</v>
      </c>
      <c r="W33" s="849" t="s">
        <v>2131</v>
      </c>
      <c r="X33" s="846"/>
      <c r="Y33" s="1003"/>
      <c r="Z33" s="849"/>
      <c r="AA33" s="852" t="s">
        <v>2132</v>
      </c>
      <c r="AB33" s="852" t="s">
        <v>2132</v>
      </c>
      <c r="AC33" s="852" t="s">
        <v>2132</v>
      </c>
      <c r="AD33" s="849"/>
    </row>
    <row customHeight="1" ht="27">
      <c r="A34" s="848"/>
      <c r="B34" s="902">
        <v>17</v>
      </c>
      <c r="C34" s="846" t="s">
        <v>2133</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2134</v>
      </c>
      <c r="P34" s="960" t="s">
        <v>2116</v>
      </c>
      <c r="Q34" s="960" t="s">
        <v>2134</v>
      </c>
      <c r="R34" s="960" t="s">
        <v>2116</v>
      </c>
      <c r="S34" s="960"/>
      <c r="T34" s="969" t="s">
        <v>2135</v>
      </c>
      <c r="U34" s="849" t="s">
        <v>2135</v>
      </c>
      <c r="V34" s="849" t="s">
        <v>2135</v>
      </c>
      <c r="W34" s="849" t="s">
        <v>2136</v>
      </c>
      <c r="X34" s="846"/>
      <c r="Y34" s="1003"/>
      <c r="Z34" s="849"/>
      <c r="AA34" s="852"/>
      <c r="AB34" s="849"/>
      <c r="AC34" s="849"/>
      <c r="AD34" s="849"/>
    </row>
    <row customHeight="1" ht="45">
      <c r="A35" s="848"/>
      <c r="B35" s="902">
        <v>18</v>
      </c>
      <c r="C35" s="846" t="s">
        <v>2137</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2138</v>
      </c>
      <c r="P35" s="960" t="s">
        <v>2118</v>
      </c>
      <c r="Q35" s="960" t="s">
        <v>2138</v>
      </c>
      <c r="R35" s="960" t="s">
        <v>2118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2139</v>
      </c>
      <c r="V35" s="849" t="s">
        <v>2139</v>
      </c>
      <c r="W35" s="849" t="s">
        <v>2139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745</v>
      </c>
      <c r="P36" s="960" t="s">
        <v>741</v>
      </c>
      <c r="Q36" s="960" t="s">
        <v>745</v>
      </c>
      <c r="R36" s="960" t="s">
        <v>741</v>
      </c>
      <c r="S36" s="960"/>
      <c r="T36" s="967" t="s">
        <v>2140</v>
      </c>
      <c r="U36" s="849" t="s">
        <v>2140</v>
      </c>
      <c r="V36" s="849" t="s">
        <v>2140</v>
      </c>
      <c r="W36" s="849" t="s">
        <v>2140</v>
      </c>
      <c r="X36" s="846"/>
      <c r="Y36" s="1003"/>
      <c r="Z36" s="849"/>
      <c r="AA36" s="852"/>
      <c r="AB36" s="849"/>
      <c r="AC36" s="849"/>
      <c r="AD36" s="849"/>
    </row>
    <row customHeight="1" ht="18">
      <c r="A37" s="848"/>
      <c r="B37" s="902">
        <v>20</v>
      </c>
      <c r="C37" s="846" t="s">
        <v>2141</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2142</v>
      </c>
      <c r="P37" s="960" t="s">
        <v>2125</v>
      </c>
      <c r="Q37" s="960" t="s">
        <v>2142</v>
      </c>
      <c r="R37" s="960" t="s">
        <v>2125</v>
      </c>
      <c r="S37" s="960"/>
      <c r="T37" s="967" t="s">
        <v>2143</v>
      </c>
      <c r="U37" s="849" t="s">
        <v>2143</v>
      </c>
      <c r="V37" s="849" t="s">
        <v>2143</v>
      </c>
      <c r="W37" s="849" t="s">
        <v>2143</v>
      </c>
      <c r="X37" s="846"/>
      <c r="Y37" s="1003"/>
      <c r="Z37" s="849"/>
      <c r="AA37" s="852"/>
      <c r="AB37" s="849"/>
      <c r="AC37" s="849"/>
      <c r="AD37" s="849"/>
    </row>
    <row customHeight="1" ht="18">
      <c r="A38" s="848"/>
      <c r="B38" s="902">
        <v>21</v>
      </c>
      <c r="C38" s="846" t="s">
        <v>2144</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2145</v>
      </c>
      <c r="P38" s="960" t="s">
        <v>2128</v>
      </c>
      <c r="Q38" s="960" t="s">
        <v>2145</v>
      </c>
      <c r="R38" s="960" t="s">
        <v>2128</v>
      </c>
      <c r="S38" s="960"/>
      <c r="T38" s="967" t="s">
        <v>2146</v>
      </c>
      <c r="U38" s="849" t="s">
        <v>2146</v>
      </c>
      <c r="V38" s="849" t="s">
        <v>2146</v>
      </c>
      <c r="W38" s="849" t="s">
        <v>2146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749</v>
      </c>
      <c r="P39" s="960" t="s">
        <v>743</v>
      </c>
      <c r="Q39" s="960" t="s">
        <v>749</v>
      </c>
      <c r="R39" s="960" t="s">
        <v>743</v>
      </c>
      <c r="S39" s="960"/>
      <c r="T39" s="967" t="s">
        <v>2147</v>
      </c>
      <c r="U39" s="849" t="s">
        <v>2148</v>
      </c>
      <c r="V39" s="849" t="s">
        <v>2149</v>
      </c>
      <c r="W39" s="849" t="s">
        <v>2150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801</v>
      </c>
      <c r="P40" s="960" t="s">
        <v>745</v>
      </c>
      <c r="Q40" s="960" t="s">
        <v>801</v>
      </c>
      <c r="R40" s="960" t="s">
        <v>745</v>
      </c>
      <c r="S40" s="960"/>
      <c r="T40" s="846" t="s">
        <v>2151</v>
      </c>
      <c r="U40" s="846" t="s">
        <v>2151</v>
      </c>
      <c r="V40" s="846" t="s">
        <v>2151</v>
      </c>
      <c r="W40" s="846" t="s">
        <v>2151</v>
      </c>
      <c r="X40" s="846"/>
      <c r="Y40" s="1003"/>
      <c r="Z40" s="849" t="s">
        <v>2152</v>
      </c>
      <c r="AA40" s="852" t="s">
        <v>2152</v>
      </c>
      <c r="AB40" s="852" t="s">
        <v>2152</v>
      </c>
      <c r="AC40" s="852" t="s">
        <v>2152</v>
      </c>
      <c r="AD40" s="849"/>
    </row>
    <row customHeight="1" ht="27">
      <c r="A41" s="848"/>
      <c r="B41" s="902">
        <v>24</v>
      </c>
      <c r="C41" s="846" t="s">
        <v>2153</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2154</v>
      </c>
      <c r="P41" s="960" t="s">
        <v>2142</v>
      </c>
      <c r="Q41" s="960" t="s">
        <v>2154</v>
      </c>
      <c r="R41" s="960" t="s">
        <v>2142</v>
      </c>
      <c r="S41" s="960"/>
      <c r="T41" s="846" t="s">
        <v>2155</v>
      </c>
      <c r="U41" s="846" t="s">
        <v>2155</v>
      </c>
      <c r="V41" s="846" t="s">
        <v>2155</v>
      </c>
      <c r="W41" s="846" t="s">
        <v>2155</v>
      </c>
      <c r="X41" s="846"/>
      <c r="Y41" s="1003"/>
      <c r="Z41" s="849" t="s">
        <v>2156</v>
      </c>
      <c r="AA41" s="849" t="s">
        <v>2156</v>
      </c>
      <c r="AB41" s="849" t="s">
        <v>2156</v>
      </c>
      <c r="AC41" s="849" t="s">
        <v>2156</v>
      </c>
      <c r="AD41" s="849"/>
    </row>
    <row customHeight="1" ht="27">
      <c r="A42" s="848"/>
      <c r="B42" s="902">
        <v>25</v>
      </c>
      <c r="C42" s="846" t="s">
        <v>2157</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2158</v>
      </c>
      <c r="P42" s="960" t="s">
        <v>2145</v>
      </c>
      <c r="Q42" s="960" t="s">
        <v>2158</v>
      </c>
      <c r="R42" s="960" t="s">
        <v>2145</v>
      </c>
      <c r="S42" s="960"/>
      <c r="T42" s="846" t="s">
        <v>2159</v>
      </c>
      <c r="U42" s="846" t="s">
        <v>2159</v>
      </c>
      <c r="V42" s="846" t="s">
        <v>2159</v>
      </c>
      <c r="W42" s="846" t="s">
        <v>2159</v>
      </c>
      <c r="X42" s="846"/>
      <c r="Y42" s="1003"/>
      <c r="Z42" s="849" t="s">
        <v>2160</v>
      </c>
      <c r="AA42" s="849" t="s">
        <v>2160</v>
      </c>
      <c r="AB42" s="849" t="s">
        <v>2160</v>
      </c>
      <c r="AC42" s="849" t="s">
        <v>2160</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2161</v>
      </c>
      <c r="P43" s="960" t="s">
        <v>749</v>
      </c>
      <c r="Q43" s="960" t="s">
        <v>2161</v>
      </c>
      <c r="R43" s="960" t="s">
        <v>749</v>
      </c>
      <c r="S43" s="960"/>
      <c r="T43" s="846" t="s">
        <v>2162</v>
      </c>
      <c r="U43" s="846" t="s">
        <v>2162</v>
      </c>
      <c r="V43" s="846" t="s">
        <v>2162</v>
      </c>
      <c r="W43" s="846" t="s">
        <v>2162</v>
      </c>
      <c r="X43" s="846"/>
      <c r="Y43" s="1003"/>
      <c r="Z43" s="849" t="s">
        <v>2163</v>
      </c>
      <c r="AA43" s="849" t="s">
        <v>2163</v>
      </c>
      <c r="AB43" s="849" t="s">
        <v>2163</v>
      </c>
      <c r="AC43" s="849" t="s">
        <v>2163</v>
      </c>
      <c r="AD43" s="849"/>
    </row>
    <row customHeight="1" ht="27">
      <c r="A44" s="848"/>
      <c r="B44" s="902">
        <v>27</v>
      </c>
      <c r="C44" s="846" t="s">
        <v>2164</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2165</v>
      </c>
      <c r="P44" s="960" t="s">
        <v>752</v>
      </c>
      <c r="Q44" s="960" t="s">
        <v>2165</v>
      </c>
      <c r="R44" s="960" t="s">
        <v>752</v>
      </c>
      <c r="S44" s="960"/>
      <c r="T44" s="846" t="s">
        <v>2155</v>
      </c>
      <c r="U44" s="846" t="s">
        <v>2155</v>
      </c>
      <c r="V44" s="846" t="s">
        <v>2155</v>
      </c>
      <c r="W44" s="846" t="s">
        <v>2155</v>
      </c>
      <c r="X44" s="846"/>
      <c r="Y44" s="1003"/>
      <c r="Z44" s="849" t="s">
        <v>2166</v>
      </c>
      <c r="AA44" s="849" t="s">
        <v>2166</v>
      </c>
      <c r="AB44" s="849" t="s">
        <v>2166</v>
      </c>
      <c r="AC44" s="849" t="s">
        <v>2166</v>
      </c>
      <c r="AD44" s="849"/>
    </row>
    <row customHeight="1" ht="27">
      <c r="A45" s="848"/>
      <c r="B45" s="902">
        <v>28</v>
      </c>
      <c r="C45" s="846" t="s">
        <v>2167</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2168</v>
      </c>
      <c r="P45" s="960" t="s">
        <v>755</v>
      </c>
      <c r="Q45" s="960" t="s">
        <v>2168</v>
      </c>
      <c r="R45" s="960" t="s">
        <v>755</v>
      </c>
      <c r="S45" s="960"/>
      <c r="T45" s="846" t="s">
        <v>2159</v>
      </c>
      <c r="U45" s="846" t="s">
        <v>2159</v>
      </c>
      <c r="V45" s="846" t="s">
        <v>2159</v>
      </c>
      <c r="W45" s="846" t="s">
        <v>2159</v>
      </c>
      <c r="X45" s="846"/>
      <c r="Y45" s="1003"/>
      <c r="Z45" s="849" t="s">
        <v>2169</v>
      </c>
      <c r="AA45" s="849" t="s">
        <v>2169</v>
      </c>
      <c r="AB45" s="849" t="s">
        <v>2169</v>
      </c>
      <c r="AC45" s="849" t="s">
        <v>2169</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2170</v>
      </c>
      <c r="P46" s="960" t="s">
        <v>801</v>
      </c>
      <c r="Q46" s="960" t="s">
        <v>2170</v>
      </c>
      <c r="R46" s="960" t="s">
        <v>801</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2171</v>
      </c>
      <c r="V46" s="846" t="s">
        <v>2171</v>
      </c>
      <c r="W46" s="846" t="s">
        <v>2171</v>
      </c>
      <c r="X46" s="846"/>
      <c r="Y46" s="1003"/>
      <c r="Z46" s="849" t="s">
        <v>2172</v>
      </c>
      <c r="AA46" s="849" t="s">
        <v>2173</v>
      </c>
      <c r="AB46" s="849" t="s">
        <v>2173</v>
      </c>
      <c r="AC46" s="849" t="s">
        <v>2173</v>
      </c>
      <c r="AD46" s="849"/>
    </row>
    <row customHeight="1" ht="54">
      <c r="A47" s="848"/>
      <c r="B47" s="902">
        <v>30</v>
      </c>
      <c r="C47" s="846" t="s">
        <v>2174</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2175</v>
      </c>
      <c r="P47" s="960" t="s">
        <v>2154</v>
      </c>
      <c r="Q47" s="960" t="s">
        <v>2175</v>
      </c>
      <c r="R47" s="960" t="s">
        <v>2154</v>
      </c>
      <c r="S47" s="960"/>
      <c r="T47" s="846" t="s">
        <v>2176</v>
      </c>
      <c r="U47" s="846" t="s">
        <v>2176</v>
      </c>
      <c r="V47" s="846" t="s">
        <v>2176</v>
      </c>
      <c r="W47" s="846" t="s">
        <v>2176</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2161</v>
      </c>
      <c r="Q48" s="960" t="s">
        <v>2177</v>
      </c>
      <c r="R48" s="960" t="s">
        <v>2161</v>
      </c>
      <c r="S48" s="960"/>
      <c r="T48" s="846"/>
      <c r="U48" s="846" t="s">
        <v>2178</v>
      </c>
      <c r="V48" s="846" t="s">
        <v>2179</v>
      </c>
      <c r="W48" s="846" t="s">
        <v>2179</v>
      </c>
      <c r="X48" s="846"/>
      <c r="Y48" s="1003"/>
      <c r="Z48" s="849"/>
      <c r="AA48" s="852" t="s">
        <v>2173</v>
      </c>
      <c r="AB48" s="852" t="s">
        <v>2173</v>
      </c>
      <c r="AC48" s="852" t="s">
        <v>2173</v>
      </c>
      <c r="AD48" s="849"/>
    </row>
    <row customHeight="1" ht="54">
      <c r="A49" s="848"/>
      <c r="B49" s="902">
        <v>32</v>
      </c>
      <c r="C49" s="846" t="s">
        <v>2180</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2165</v>
      </c>
      <c r="Q49" s="960" t="s">
        <v>2181</v>
      </c>
      <c r="R49" s="960" t="s">
        <v>2165</v>
      </c>
      <c r="S49" s="960"/>
      <c r="T49" s="846"/>
      <c r="U49" s="846" t="s">
        <v>2176</v>
      </c>
      <c r="V49" s="846" t="s">
        <v>2176</v>
      </c>
      <c r="W49" s="846" t="s">
        <v>2176</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2177</v>
      </c>
      <c r="P50" s="960" t="s">
        <v>2170</v>
      </c>
      <c r="Q50" s="960" t="s">
        <v>2182</v>
      </c>
      <c r="R50" s="960" t="s">
        <v>2170</v>
      </c>
      <c r="S50" s="960"/>
      <c r="T50" s="846" t="s">
        <v>2183</v>
      </c>
      <c r="U50" s="846" t="s">
        <v>2184</v>
      </c>
      <c r="V50" s="846" t="s">
        <v>2185</v>
      </c>
      <c r="W50" s="846" t="s">
        <v>2186</v>
      </c>
      <c r="X50" s="846"/>
      <c r="Y50" s="1003"/>
      <c r="Z50" s="849" t="s">
        <v>2187</v>
      </c>
      <c r="AA50" s="852" t="s">
        <v>2188</v>
      </c>
      <c r="AB50" s="852" t="s">
        <v>2188</v>
      </c>
      <c r="AC50" s="852" t="s">
        <v>2188</v>
      </c>
      <c r="AD50" s="849"/>
    </row>
    <row customHeight="1" ht="27">
      <c r="A51" s="848"/>
      <c r="B51" s="902">
        <v>34</v>
      </c>
      <c r="C51" s="846" t="s">
        <v>2189</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2190</v>
      </c>
      <c r="U51" s="846"/>
      <c r="V51" s="846"/>
      <c r="W51" s="846"/>
      <c r="X51" s="846"/>
      <c r="Y51" s="1003"/>
      <c r="Z51" s="849"/>
      <c r="AA51" s="852"/>
      <c r="AB51" s="852"/>
      <c r="AC51" s="852"/>
      <c r="AD51" s="849"/>
    </row>
    <row customHeight="1" ht="36">
      <c r="A52" s="848"/>
      <c r="B52" s="902">
        <v>35</v>
      </c>
      <c r="C52" s="846" t="s">
        <v>2086</v>
      </c>
      <c r="D52" s="970" t="s">
        <v>2086</v>
      </c>
      <c r="E52" s="846" t="s">
        <v>2086</v>
      </c>
      <c r="F52" s="846" t="s">
        <v>2086</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2191</v>
      </c>
      <c r="U52" s="846" t="s">
        <v>2192</v>
      </c>
      <c r="V52" s="846" t="s">
        <v>2193</v>
      </c>
      <c r="W52" s="846" t="s">
        <v>2194</v>
      </c>
      <c r="X52" s="846"/>
      <c r="Y52" s="1003"/>
      <c r="Z52" s="849" t="s">
        <v>759</v>
      </c>
      <c r="AA52" s="852" t="s">
        <v>759</v>
      </c>
      <c r="AB52" s="852" t="s">
        <v>759</v>
      </c>
      <c r="AC52" s="852" t="s">
        <v>759</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763</v>
      </c>
      <c r="P53" s="960" t="s">
        <v>325</v>
      </c>
      <c r="Q53" s="960" t="s">
        <v>325</v>
      </c>
      <c r="R53" s="960" t="s">
        <v>325</v>
      </c>
      <c r="S53" s="960"/>
      <c r="T53" s="846" t="s">
        <v>2195</v>
      </c>
      <c r="U53" s="846" t="s">
        <v>2195</v>
      </c>
      <c r="V53" s="846" t="s">
        <v>2195</v>
      </c>
      <c r="W53" s="846" t="s">
        <v>2195</v>
      </c>
      <c r="X53" s="846"/>
      <c r="Y53" s="1003"/>
      <c r="Z53" s="849"/>
      <c r="AA53" s="852"/>
      <c r="AB53" s="849"/>
      <c r="AC53" s="849"/>
      <c r="AD53" s="849"/>
    </row>
    <row customHeight="1" ht="18">
      <c r="A54" s="848"/>
      <c r="B54" s="902">
        <v>37</v>
      </c>
      <c r="C54" s="846" t="s">
        <v>2092</v>
      </c>
      <c r="D54" s="970" t="s">
        <v>2092</v>
      </c>
      <c r="E54" s="846" t="s">
        <v>2092</v>
      </c>
      <c r="F54" s="846" t="s">
        <v>2092</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91</v>
      </c>
      <c r="Q54" s="960" t="s">
        <v>91</v>
      </c>
      <c r="R54" s="960" t="s">
        <v>91</v>
      </c>
      <c r="S54" s="960"/>
      <c r="T54" s="846" t="s">
        <v>761</v>
      </c>
      <c r="U54" s="846" t="s">
        <v>761</v>
      </c>
      <c r="V54" s="846" t="s">
        <v>761</v>
      </c>
      <c r="W54" s="846" t="s">
        <v>761</v>
      </c>
      <c r="X54" s="846"/>
      <c r="Y54" s="1003"/>
      <c r="Z54" s="849" t="s">
        <v>762</v>
      </c>
      <c r="AA54" s="849" t="s">
        <v>762</v>
      </c>
      <c r="AB54" s="849" t="s">
        <v>762</v>
      </c>
      <c r="AC54" s="849" t="s">
        <v>762</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314</v>
      </c>
      <c r="P55" s="960" t="s">
        <v>763</v>
      </c>
      <c r="Q55" s="960" t="s">
        <v>763</v>
      </c>
      <c r="R55" s="960" t="s">
        <v>763</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2196</v>
      </c>
      <c r="V55" s="846" t="s">
        <v>2196</v>
      </c>
      <c r="W55" s="846" t="s">
        <v>2196</v>
      </c>
      <c r="X55" s="846"/>
      <c r="Y55" s="1003"/>
      <c r="Z55" s="849" t="s">
        <v>2197</v>
      </c>
      <c r="AA55" s="849" t="s">
        <v>2197</v>
      </c>
      <c r="AB55" s="849" t="s">
        <v>2197</v>
      </c>
      <c r="AC55" s="849" t="s">
        <v>2197</v>
      </c>
      <c r="AD55" s="849"/>
    </row>
    <row customHeight="1" ht="27">
      <c r="A56" s="848"/>
      <c r="B56" s="902">
        <v>39</v>
      </c>
      <c r="C56" s="846" t="s">
        <v>1077</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1200</v>
      </c>
      <c r="P56" s="960" t="s">
        <v>766</v>
      </c>
      <c r="Q56" s="960" t="s">
        <v>766</v>
      </c>
      <c r="R56" s="960" t="s">
        <v>766</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2198</v>
      </c>
      <c r="V56" s="846" t="s">
        <v>2198</v>
      </c>
      <c r="W56" s="846" t="s">
        <v>2198</v>
      </c>
      <c r="X56" s="846"/>
      <c r="Y56" s="1003"/>
      <c r="Z56" s="849" t="s">
        <v>768</v>
      </c>
      <c r="AA56" s="849" t="s">
        <v>768</v>
      </c>
      <c r="AB56" s="849" t="s">
        <v>768</v>
      </c>
      <c r="AC56" s="849" t="s">
        <v>768</v>
      </c>
      <c r="AD56" s="849"/>
    </row>
    <row customHeight="1" ht="27">
      <c r="A57" s="848"/>
      <c r="B57" s="902">
        <v>40</v>
      </c>
      <c r="C57" s="846" t="s">
        <v>1079</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2199</v>
      </c>
      <c r="P57" s="960" t="s">
        <v>769</v>
      </c>
      <c r="Q57" s="960" t="s">
        <v>769</v>
      </c>
      <c r="R57" s="960" t="s">
        <v>769</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2200</v>
      </c>
      <c r="V57" s="846" t="s">
        <v>2200</v>
      </c>
      <c r="W57" s="846" t="s">
        <v>2200</v>
      </c>
      <c r="X57" s="846"/>
      <c r="Y57" s="1003"/>
      <c r="Z57" s="849" t="s">
        <v>771</v>
      </c>
      <c r="AA57" s="849" t="s">
        <v>771</v>
      </c>
      <c r="AB57" s="849" t="s">
        <v>771</v>
      </c>
      <c r="AC57" s="849" t="s">
        <v>771</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903</v>
      </c>
      <c r="P58" s="960" t="s">
        <v>807</v>
      </c>
      <c r="Q58" s="960" t="s">
        <v>807</v>
      </c>
      <c r="R58" s="960" t="s">
        <v>807</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2201</v>
      </c>
      <c r="V58" s="846" t="s">
        <v>2201</v>
      </c>
      <c r="W58" s="846" t="s">
        <v>2201</v>
      </c>
      <c r="X58" s="846"/>
      <c r="Y58" s="1003"/>
      <c r="Z58" s="849"/>
      <c r="AA58" s="852"/>
      <c r="AB58" s="849"/>
      <c r="AC58" s="849"/>
      <c r="AD58" s="849"/>
    </row>
    <row customHeight="1" ht="36">
      <c r="A59" s="848"/>
      <c r="B59" s="902">
        <v>42</v>
      </c>
      <c r="C59" s="846">
        <v>3</v>
      </c>
      <c r="D59" s="970" t="s">
        <v>2189</v>
      </c>
      <c r="E59" s="846" t="s">
        <v>2189</v>
      </c>
      <c r="F59" s="846" t="s">
        <v>2189</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110</v>
      </c>
      <c r="Q59" s="960" t="s">
        <v>110</v>
      </c>
      <c r="R59" s="960" t="s">
        <v>110</v>
      </c>
      <c r="S59" s="960"/>
      <c r="T59" s="846"/>
      <c r="U59" s="846" t="s">
        <v>2202</v>
      </c>
      <c r="V59" s="846" t="s">
        <v>2203</v>
      </c>
      <c r="W59" s="846" t="s">
        <v>2204</v>
      </c>
      <c r="X59" s="846"/>
      <c r="Y59" s="1003"/>
      <c r="Z59" s="849"/>
      <c r="AA59" s="852"/>
      <c r="AB59" s="849"/>
      <c r="AC59" s="849"/>
      <c r="AD59" s="849"/>
    </row>
    <row customHeight="1" ht="81">
      <c r="A60" s="848"/>
      <c r="B60" s="902">
        <v>43</v>
      </c>
      <c r="C60" s="846" t="s">
        <v>2205</v>
      </c>
      <c r="D60" s="970" t="s">
        <v>2205</v>
      </c>
      <c r="E60" s="846" t="s">
        <v>2205</v>
      </c>
      <c r="F60" s="846" t="s">
        <v>2205</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633</v>
      </c>
      <c r="U60" s="846" t="s">
        <v>633</v>
      </c>
      <c r="V60" s="846" t="s">
        <v>633</v>
      </c>
      <c r="W60" s="846" t="s">
        <v>633</v>
      </c>
      <c r="X60" s="846"/>
      <c r="Y60" s="1003"/>
      <c r="Z60" s="849" t="s">
        <v>2206</v>
      </c>
      <c r="AA60" s="852" t="s">
        <v>2207</v>
      </c>
      <c r="AB60" s="849" t="s">
        <v>2208</v>
      </c>
      <c r="AC60" s="849" t="s">
        <v>2207</v>
      </c>
      <c r="AD60" s="849"/>
    </row>
    <row customHeight="1" ht="9">
      <c r="A61" s="848"/>
      <c r="B61" s="902">
        <v>44</v>
      </c>
      <c r="C61" s="846"/>
      <c r="D61" s="970" t="s">
        <v>2209</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93</v>
      </c>
      <c r="Q61" s="960"/>
      <c r="R61" s="960"/>
      <c r="S61" s="960"/>
      <c r="T61" s="846"/>
      <c r="U61" s="846" t="s">
        <v>2210</v>
      </c>
      <c r="V61" s="846"/>
      <c r="W61" s="846"/>
      <c r="X61" s="846"/>
      <c r="Y61" s="1003"/>
      <c r="Z61" s="849"/>
      <c r="AA61" s="852"/>
      <c r="AB61" s="849"/>
      <c r="AC61" s="849"/>
      <c r="AD61" s="849"/>
    </row>
    <row customHeight="1" ht="9">
      <c r="A62" s="848"/>
      <c r="B62" s="902">
        <v>45</v>
      </c>
      <c r="C62" s="846"/>
      <c r="D62" s="970" t="s">
        <v>2211</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111</v>
      </c>
      <c r="Q62" s="960"/>
      <c r="R62" s="960"/>
      <c r="S62" s="960"/>
      <c r="T62" s="846"/>
      <c r="U62" s="846" t="s">
        <v>2212</v>
      </c>
      <c r="V62" s="846"/>
      <c r="W62" s="846"/>
      <c r="X62" s="846"/>
      <c r="Y62" s="1003"/>
      <c r="Z62" s="849"/>
      <c r="AA62" s="852"/>
      <c r="AB62" s="849"/>
      <c r="AC62" s="849"/>
      <c r="AD62" s="849"/>
    </row>
    <row customHeight="1" ht="18">
      <c r="A63" s="848"/>
      <c r="B63" s="902">
        <v>46</v>
      </c>
      <c r="C63" s="846"/>
      <c r="D63" s="970" t="s">
        <v>2213</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151</v>
      </c>
      <c r="Q63" s="960"/>
      <c r="R63" s="960"/>
      <c r="S63" s="960"/>
      <c r="T63" s="846"/>
      <c r="U63" s="846" t="s">
        <v>2214</v>
      </c>
      <c r="V63" s="846"/>
      <c r="W63" s="846"/>
      <c r="X63" s="846"/>
      <c r="Y63" s="1003"/>
      <c r="Z63" s="849"/>
      <c r="AA63" s="852"/>
      <c r="AB63" s="849"/>
      <c r="AC63" s="849"/>
      <c r="AD63" s="849"/>
    </row>
    <row customHeight="1" ht="18">
      <c r="A64" s="848"/>
      <c r="B64" s="902">
        <v>47</v>
      </c>
      <c r="C64" s="846"/>
      <c r="D64" s="970" t="s">
        <v>2215</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152</v>
      </c>
      <c r="Q64" s="960"/>
      <c r="R64" s="960"/>
      <c r="S64" s="960"/>
      <c r="T64" s="846"/>
      <c r="U64" s="846" t="s">
        <v>2216</v>
      </c>
      <c r="V64" s="846"/>
      <c r="W64" s="846"/>
      <c r="X64" s="846"/>
      <c r="Y64" s="1003"/>
      <c r="Z64" s="849"/>
      <c r="AA64" s="852" t="s">
        <v>2217</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2133</v>
      </c>
      <c r="Q65" s="960"/>
      <c r="R65" s="960"/>
      <c r="S65" s="960"/>
      <c r="T65" s="846"/>
      <c r="U65" s="846" t="s">
        <v>2218</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2137</v>
      </c>
      <c r="Q66" s="960"/>
      <c r="R66" s="960"/>
      <c r="S66" s="960"/>
      <c r="T66" s="846"/>
      <c r="U66" s="846" t="s">
        <v>2219</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2220</v>
      </c>
      <c r="Q67" s="960"/>
      <c r="R67" s="960"/>
      <c r="S67" s="960"/>
      <c r="T67" s="846"/>
      <c r="U67" s="846" t="s">
        <v>2221</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2222</v>
      </c>
      <c r="Q68" s="960"/>
      <c r="R68" s="960"/>
      <c r="S68" s="960"/>
      <c r="T68" s="846"/>
      <c r="U68" s="846" t="s">
        <v>2223</v>
      </c>
      <c r="V68" s="846"/>
      <c r="W68" s="846"/>
      <c r="X68" s="846"/>
      <c r="Y68" s="1003"/>
      <c r="Z68" s="849"/>
      <c r="AA68" s="852"/>
      <c r="AB68" s="849"/>
      <c r="AC68" s="849"/>
      <c r="AD68" s="849"/>
    </row>
    <row customHeight="1" ht="9">
      <c r="A69" s="848"/>
      <c r="B69" s="902">
        <v>52</v>
      </c>
      <c r="C69" s="846"/>
      <c r="D69" s="970" t="s">
        <v>2224</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153</v>
      </c>
      <c r="Q69" s="960"/>
      <c r="R69" s="960"/>
      <c r="S69" s="960"/>
      <c r="T69" s="846"/>
      <c r="U69" s="846" t="s">
        <v>2225</v>
      </c>
      <c r="V69" s="846"/>
      <c r="W69" s="846"/>
      <c r="X69" s="846"/>
      <c r="Y69" s="1003"/>
      <c r="Z69" s="849"/>
      <c r="AA69" s="852"/>
      <c r="AB69" s="849"/>
      <c r="AC69" s="849"/>
      <c r="AD69" s="849"/>
    </row>
    <row customHeight="1" ht="27">
      <c r="A70" s="848"/>
      <c r="B70" s="902">
        <v>53</v>
      </c>
      <c r="C70" s="846"/>
      <c r="D70" s="970"/>
      <c r="E70" s="846" t="s">
        <v>2209</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2226</v>
      </c>
      <c r="W70" s="846"/>
      <c r="X70" s="846"/>
      <c r="Y70" s="1003"/>
      <c r="Z70" s="849"/>
      <c r="AA70" s="852"/>
      <c r="AB70" s="849"/>
      <c r="AC70" s="849"/>
      <c r="AD70" s="849"/>
    </row>
    <row customHeight="1" ht="36">
      <c r="A71" s="848"/>
      <c r="B71" s="902">
        <v>54</v>
      </c>
      <c r="C71" s="846"/>
      <c r="D71" s="970"/>
      <c r="E71" s="846" t="s">
        <v>2211</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2227</v>
      </c>
      <c r="W71" s="846"/>
      <c r="X71" s="846"/>
      <c r="Y71" s="1003"/>
      <c r="Z71" s="849"/>
      <c r="AA71" s="852"/>
      <c r="AB71" s="849"/>
      <c r="AC71" s="849"/>
      <c r="AD71" s="849"/>
    </row>
    <row customHeight="1" ht="27">
      <c r="A72" s="848"/>
      <c r="B72" s="902">
        <v>55</v>
      </c>
      <c r="C72" s="846"/>
      <c r="D72" s="970"/>
      <c r="E72" s="846" t="s">
        <v>2213</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151</v>
      </c>
      <c r="R72" s="960"/>
      <c r="S72" s="960"/>
      <c r="T72" s="846"/>
      <c r="U72" s="846"/>
      <c r="V72" s="846" t="s">
        <v>2228</v>
      </c>
      <c r="W72" s="846"/>
      <c r="X72" s="846"/>
      <c r="Y72" s="1003"/>
      <c r="Z72" s="849"/>
      <c r="AA72" s="852"/>
      <c r="AB72" s="849"/>
      <c r="AC72" s="849"/>
      <c r="AD72" s="849"/>
    </row>
    <row customHeight="1" ht="36">
      <c r="A73" s="848"/>
      <c r="B73" s="902">
        <v>56</v>
      </c>
      <c r="C73" s="846"/>
      <c r="D73" s="970"/>
      <c r="E73" s="846" t="s">
        <v>2215</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152</v>
      </c>
      <c r="R73" s="960"/>
      <c r="S73" s="960"/>
      <c r="T73" s="846"/>
      <c r="U73" s="846"/>
      <c r="V73" s="846" t="s">
        <v>2229</v>
      </c>
      <c r="W73" s="846"/>
      <c r="X73" s="846"/>
      <c r="Y73" s="1003"/>
      <c r="Z73" s="849"/>
      <c r="AA73" s="852"/>
      <c r="AB73" s="849"/>
      <c r="AC73" s="849"/>
      <c r="AD73" s="849"/>
    </row>
    <row customHeight="1" ht="18">
      <c r="A74" s="848"/>
      <c r="B74" s="902">
        <v>57</v>
      </c>
      <c r="C74" s="846"/>
      <c r="D74" s="970"/>
      <c r="E74" s="846" t="s">
        <v>2224</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153</v>
      </c>
      <c r="R74" s="960"/>
      <c r="S74" s="960"/>
      <c r="T74" s="846"/>
      <c r="U74" s="846"/>
      <c r="V74" s="846" t="s">
        <v>2230</v>
      </c>
      <c r="W74" s="846"/>
      <c r="X74" s="846"/>
      <c r="Y74" s="1003"/>
      <c r="Z74" s="849"/>
      <c r="AA74" s="852"/>
      <c r="AB74" s="849"/>
      <c r="AC74" s="849"/>
      <c r="AD74" s="849"/>
    </row>
    <row customHeight="1" ht="18">
      <c r="A75" s="848"/>
      <c r="B75" s="902">
        <v>58</v>
      </c>
      <c r="C75" s="846"/>
      <c r="D75" s="970"/>
      <c r="E75" s="846"/>
      <c r="F75" s="846" t="s">
        <v>2209</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2231</v>
      </c>
      <c r="X75" s="846"/>
      <c r="Y75" s="1003"/>
      <c r="Z75" s="849"/>
      <c r="AA75" s="852"/>
      <c r="AB75" s="849"/>
      <c r="AC75" s="849"/>
      <c r="AD75" s="849"/>
    </row>
    <row customHeight="1" ht="36">
      <c r="A76" s="848"/>
      <c r="B76" s="902">
        <v>59</v>
      </c>
      <c r="C76" s="846"/>
      <c r="D76" s="970"/>
      <c r="E76" s="846"/>
      <c r="F76" s="846" t="s">
        <v>2211</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2232</v>
      </c>
      <c r="X76" s="846"/>
      <c r="Y76" s="1003"/>
      <c r="Z76" s="849"/>
      <c r="AA76" s="852"/>
      <c r="AB76" s="849"/>
      <c r="AC76" s="849"/>
      <c r="AD76" s="849"/>
    </row>
    <row customHeight="1" ht="18">
      <c r="A77" s="848"/>
      <c r="B77" s="902">
        <v>60</v>
      </c>
      <c r="C77" s="846"/>
      <c r="D77" s="970"/>
      <c r="E77" s="846"/>
      <c r="F77" s="846" t="s">
        <v>2213</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151</v>
      </c>
      <c r="S77" s="960"/>
      <c r="T77" s="846"/>
      <c r="U77" s="846"/>
      <c r="V77" s="846"/>
      <c r="W77" s="846" t="s">
        <v>2233</v>
      </c>
      <c r="X77" s="846"/>
      <c r="Y77" s="1003"/>
      <c r="Z77" s="849"/>
      <c r="AA77" s="852"/>
      <c r="AB77" s="849"/>
      <c r="AC77" s="849"/>
      <c r="AD77" s="849"/>
    </row>
    <row customHeight="1" ht="72">
      <c r="A78" s="848"/>
      <c r="B78" s="902">
        <v>61</v>
      </c>
      <c r="C78" s="846" t="s">
        <v>2209</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638</v>
      </c>
      <c r="U78" s="846"/>
      <c r="V78" s="846"/>
      <c r="W78" s="846"/>
      <c r="X78" s="846"/>
      <c r="Y78" s="1003"/>
      <c r="Z78" s="849" t="s">
        <v>2234</v>
      </c>
      <c r="AA78" s="852"/>
      <c r="AB78" s="849"/>
      <c r="AC78" s="849"/>
      <c r="AD78" s="849"/>
    </row>
    <row customHeight="1" ht="36">
      <c r="A79" s="848"/>
      <c r="B79" s="902">
        <v>62</v>
      </c>
      <c r="C79" s="846" t="s">
        <v>2211</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2235</v>
      </c>
      <c r="U79" s="846"/>
      <c r="V79" s="846"/>
      <c r="W79" s="846"/>
      <c r="X79" s="846"/>
      <c r="Y79" s="1003"/>
      <c r="Z79" s="849" t="s">
        <v>2236</v>
      </c>
      <c r="AA79" s="852"/>
      <c r="AB79" s="849"/>
      <c r="AC79" s="849"/>
      <c r="AD79" s="849"/>
    </row>
    <row customHeight="1" ht="45">
      <c r="A80" s="848"/>
      <c r="B80" s="902">
        <v>63</v>
      </c>
      <c r="C80" s="846" t="s">
        <v>2213</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151</v>
      </c>
      <c r="P80" s="960"/>
      <c r="Q80" s="960"/>
      <c r="R80" s="960"/>
      <c r="S80" s="960"/>
      <c r="T80" s="846" t="s">
        <v>2237</v>
      </c>
      <c r="U80" s="846"/>
      <c r="V80" s="846"/>
      <c r="W80" s="846"/>
      <c r="X80" s="846"/>
      <c r="Y80" s="1003"/>
      <c r="Z80" s="849" t="s">
        <v>2238</v>
      </c>
      <c r="AA80" s="852"/>
      <c r="AB80" s="849"/>
      <c r="AC80" s="849"/>
      <c r="AD80" s="849"/>
    </row>
    <row customHeight="1" ht="36">
      <c r="A81" s="848"/>
      <c r="B81" s="902">
        <v>64</v>
      </c>
      <c r="C81" s="846" t="s">
        <v>2215</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2124</v>
      </c>
      <c r="P81" s="960"/>
      <c r="Q81" s="960"/>
      <c r="R81" s="960"/>
      <c r="S81" s="960"/>
      <c r="T81" s="846" t="s">
        <v>2239</v>
      </c>
      <c r="U81" s="846"/>
      <c r="V81" s="846"/>
      <c r="W81" s="846"/>
      <c r="X81" s="846"/>
      <c r="Y81" s="1003"/>
      <c r="Z81" s="849" t="s">
        <v>2240</v>
      </c>
      <c r="AA81" s="852"/>
      <c r="AB81" s="849"/>
      <c r="AC81" s="849"/>
      <c r="AD81" s="849"/>
    </row>
    <row customHeight="1" ht="90">
      <c r="A82" s="848"/>
      <c r="B82" s="902">
        <v>65</v>
      </c>
      <c r="C82" s="846" t="s">
        <v>2224</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152</v>
      </c>
      <c r="P82" s="960"/>
      <c r="Q82" s="960"/>
      <c r="R82" s="960"/>
      <c r="S82" s="960"/>
      <c r="T82" s="846" t="s">
        <v>2241</v>
      </c>
      <c r="U82" s="846"/>
      <c r="V82" s="846"/>
      <c r="W82" s="846"/>
      <c r="X82" s="846"/>
      <c r="Y82" s="1003"/>
      <c r="Z82" s="849" t="s">
        <v>2242</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2133</v>
      </c>
      <c r="P83" s="960"/>
      <c r="Q83" s="960"/>
      <c r="R83" s="960"/>
      <c r="S83" s="960"/>
      <c r="T83" s="846" t="s">
        <v>2243</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2244</v>
      </c>
      <c r="P84" s="960"/>
      <c r="Q84" s="960"/>
      <c r="R84" s="960"/>
      <c r="S84" s="960"/>
      <c r="T84" s="846" t="s">
        <v>2245</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2137</v>
      </c>
      <c r="P85" s="960"/>
      <c r="Q85" s="960"/>
      <c r="R85" s="960"/>
      <c r="S85" s="960"/>
      <c r="T85" s="846" t="s">
        <v>2246</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2247</v>
      </c>
      <c r="P86" s="960"/>
      <c r="Q86" s="960"/>
      <c r="R86" s="960"/>
      <c r="S86" s="960"/>
      <c r="T86" s="846" t="s">
        <v>2248</v>
      </c>
      <c r="U86" s="846"/>
      <c r="V86" s="846"/>
      <c r="W86" s="846"/>
      <c r="X86" s="846"/>
      <c r="Y86" s="1003"/>
      <c r="Z86" s="849"/>
      <c r="AA86" s="852"/>
      <c r="AB86" s="849"/>
      <c r="AC86" s="849"/>
      <c r="AD86" s="849"/>
    </row>
    <row customHeight="1" ht="36">
      <c r="A87" s="848"/>
      <c r="B87" s="902">
        <v>70</v>
      </c>
      <c r="C87" s="846" t="s">
        <v>2249</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153</v>
      </c>
      <c r="P87" s="960"/>
      <c r="Q87" s="960"/>
      <c r="R87" s="960"/>
      <c r="S87" s="960"/>
      <c r="T87" s="846" t="s">
        <v>2250</v>
      </c>
      <c r="U87" s="846"/>
      <c r="V87" s="846"/>
      <c r="W87" s="846"/>
      <c r="X87" s="846"/>
      <c r="Y87" s="1003"/>
      <c r="Z87" s="849"/>
      <c r="AA87" s="852"/>
      <c r="AB87" s="849"/>
      <c r="AC87" s="849"/>
      <c r="AD87" s="849"/>
    </row>
    <row customHeight="1" ht="18">
      <c r="A88" s="848"/>
      <c r="B88" s="902">
        <v>71</v>
      </c>
      <c r="C88" s="846" t="s">
        <v>2251</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154</v>
      </c>
      <c r="P88" s="960"/>
      <c r="Q88" s="960"/>
      <c r="R88" s="960"/>
      <c r="S88" s="960"/>
      <c r="T88" s="846" t="s">
        <v>670</v>
      </c>
      <c r="U88" s="846"/>
      <c r="V88" s="846"/>
      <c r="W88" s="846"/>
      <c r="X88" s="846"/>
      <c r="Y88" s="1003"/>
      <c r="Z88" s="849"/>
      <c r="AA88" s="852"/>
      <c r="AB88" s="849"/>
      <c r="AC88" s="849"/>
      <c r="AD88" s="849"/>
    </row>
    <row customHeight="1" ht="18">
      <c r="A89" s="848"/>
      <c r="B89" s="902">
        <v>72</v>
      </c>
      <c r="C89" s="846" t="s">
        <v>2252</v>
      </c>
      <c r="D89" s="970" t="s">
        <v>2249</v>
      </c>
      <c r="E89" s="846" t="s">
        <v>2249</v>
      </c>
      <c r="F89" s="846" t="s">
        <v>2215</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155</v>
      </c>
      <c r="P89" s="960" t="s">
        <v>154</v>
      </c>
      <c r="Q89" s="960" t="s">
        <v>154</v>
      </c>
      <c r="R89" s="960" t="s">
        <v>152</v>
      </c>
      <c r="S89" s="960"/>
      <c r="T89" s="846" t="s">
        <v>678</v>
      </c>
      <c r="U89" s="846" t="s">
        <v>678</v>
      </c>
      <c r="V89" s="846" t="s">
        <v>678</v>
      </c>
      <c r="W89" s="846" t="s">
        <v>678</v>
      </c>
      <c r="X89" s="846"/>
      <c r="Y89" s="1003"/>
      <c r="Z89" s="849"/>
      <c r="AA89" s="852"/>
      <c r="AB89" s="849"/>
      <c r="AC89" s="849"/>
      <c r="AD89" s="849"/>
    </row>
    <row customHeight="1" ht="27">
      <c r="A90" s="848"/>
      <c r="B90" s="902">
        <v>73</v>
      </c>
      <c r="C90" s="846" t="s">
        <v>2253</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156</v>
      </c>
      <c r="P90" s="960"/>
      <c r="Q90" s="960"/>
      <c r="R90" s="960"/>
      <c r="S90" s="960"/>
      <c r="T90" s="846" t="s">
        <v>680</v>
      </c>
      <c r="U90" s="846"/>
      <c r="V90" s="846"/>
      <c r="W90" s="846"/>
      <c r="X90" s="846"/>
      <c r="Y90" s="1003"/>
      <c r="Z90" s="849"/>
      <c r="AA90" s="852"/>
      <c r="AB90" s="849"/>
      <c r="AC90" s="849"/>
      <c r="AD90" s="849"/>
    </row>
    <row customHeight="1" ht="18">
      <c r="A91" s="848"/>
      <c r="B91" s="902">
        <v>74</v>
      </c>
      <c r="C91" s="846"/>
      <c r="D91" s="970" t="s">
        <v>2251</v>
      </c>
      <c r="E91" s="846" t="s">
        <v>2251</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155</v>
      </c>
      <c r="Q91" s="960" t="s">
        <v>155</v>
      </c>
      <c r="R91" s="960"/>
      <c r="S91" s="960"/>
      <c r="T91" s="846"/>
      <c r="U91" s="846" t="s">
        <v>2254</v>
      </c>
      <c r="V91" s="846" t="s">
        <v>2254</v>
      </c>
      <c r="W91" s="846"/>
      <c r="X91" s="846"/>
      <c r="Y91" s="1003"/>
      <c r="Z91" s="849"/>
      <c r="AA91" s="852"/>
      <c r="AB91" s="849"/>
      <c r="AC91" s="849"/>
      <c r="AD91" s="849"/>
    </row>
    <row customHeight="1" ht="27">
      <c r="A92" s="848"/>
      <c r="B92" s="902">
        <v>75</v>
      </c>
      <c r="C92" s="846"/>
      <c r="D92" s="970" t="s">
        <v>2252</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156</v>
      </c>
      <c r="Q92" s="960"/>
      <c r="R92" s="960"/>
      <c r="S92" s="960"/>
      <c r="T92" s="846"/>
      <c r="U92" s="846" t="s">
        <v>2255</v>
      </c>
      <c r="V92" s="846"/>
      <c r="W92" s="846"/>
      <c r="X92" s="846"/>
      <c r="Y92" s="1003"/>
      <c r="Z92" s="849"/>
      <c r="AA92" s="852" t="s">
        <v>2256</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2164</v>
      </c>
      <c r="Q93" s="960"/>
      <c r="R93" s="960"/>
      <c r="S93" s="960"/>
      <c r="T93" s="846"/>
      <c r="U93" s="846" t="s">
        <v>2257</v>
      </c>
      <c r="V93" s="846"/>
      <c r="W93" s="846"/>
      <c r="X93" s="846"/>
      <c r="Y93" s="1003"/>
      <c r="Z93" s="849"/>
      <c r="AA93" s="852" t="s">
        <v>2258</v>
      </c>
      <c r="AB93" s="849"/>
      <c r="AC93" s="849"/>
      <c r="AD93" s="849"/>
    </row>
    <row customHeight="1" ht="45">
      <c r="A94" s="848"/>
      <c r="B94" s="902">
        <v>77</v>
      </c>
      <c r="C94" s="846"/>
      <c r="D94" s="970" t="s">
        <v>2253</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1524</v>
      </c>
      <c r="Q94" s="960"/>
      <c r="R94" s="960"/>
      <c r="S94" s="960"/>
      <c r="T94" s="846"/>
      <c r="U94" s="846" t="s">
        <v>2259</v>
      </c>
      <c r="V94" s="846"/>
      <c r="W94" s="846"/>
      <c r="X94" s="846"/>
      <c r="Y94" s="1003"/>
      <c r="Z94" s="849"/>
      <c r="AA94" s="852" t="s">
        <v>2260</v>
      </c>
      <c r="AB94" s="849"/>
      <c r="AC94" s="849"/>
      <c r="AD94" s="849"/>
    </row>
    <row customHeight="1" ht="99">
      <c r="A95" s="848"/>
      <c r="B95" s="902">
        <v>78</v>
      </c>
      <c r="C95" s="846" t="s">
        <v>2261</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1524</v>
      </c>
      <c r="P95" s="960"/>
      <c r="Q95" s="960"/>
      <c r="R95" s="960"/>
      <c r="S95" s="960"/>
      <c r="T95" s="846" t="s">
        <v>2262</v>
      </c>
      <c r="U95" s="846"/>
      <c r="V95" s="846"/>
      <c r="W95" s="846"/>
      <c r="X95" s="846"/>
      <c r="Y95" s="1003"/>
      <c r="Z95" s="849"/>
      <c r="AA95" s="852"/>
      <c r="AB95" s="849"/>
      <c r="AC95" s="849"/>
      <c r="AD95" s="849"/>
    </row>
    <row customHeight="1" ht="99">
      <c r="A96" s="848"/>
      <c r="B96" s="902">
        <v>79</v>
      </c>
      <c r="C96" s="846" t="s">
        <v>1209</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1530</v>
      </c>
      <c r="P96" s="960"/>
      <c r="Q96" s="960"/>
      <c r="R96" s="960"/>
      <c r="S96" s="960"/>
      <c r="T96" s="846" t="s">
        <v>2263</v>
      </c>
      <c r="U96" s="846"/>
      <c r="V96" s="846"/>
      <c r="W96" s="846"/>
      <c r="X96" s="846"/>
      <c r="Y96" s="1003"/>
      <c r="Z96" s="849" t="s">
        <v>2264</v>
      </c>
      <c r="AA96" s="852"/>
      <c r="AB96" s="849"/>
      <c r="AC96" s="849"/>
      <c r="AD96" s="849"/>
    </row>
    <row customHeight="1" ht="63">
      <c r="A97" s="848"/>
      <c r="B97" s="902">
        <v>80</v>
      </c>
      <c r="C97" s="846" t="s">
        <v>2265</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1542</v>
      </c>
      <c r="P97" s="960"/>
      <c r="Q97" s="960"/>
      <c r="R97" s="960"/>
      <c r="S97" s="960"/>
      <c r="T97" s="846" t="s">
        <v>2266</v>
      </c>
      <c r="U97" s="846"/>
      <c r="V97" s="846"/>
      <c r="W97" s="846"/>
      <c r="X97" s="846"/>
      <c r="Y97" s="1003"/>
      <c r="Z97" s="849" t="s">
        <v>2267</v>
      </c>
      <c r="AA97" s="852"/>
      <c r="AB97" s="849"/>
      <c r="AC97" s="849"/>
      <c r="AD97" s="849"/>
    </row>
    <row customHeight="1" ht="63">
      <c r="A98" s="848"/>
      <c r="B98" s="902">
        <v>81</v>
      </c>
      <c r="C98" s="846" t="s">
        <v>2268</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1556</v>
      </c>
      <c r="P98" s="960"/>
      <c r="Q98" s="960"/>
      <c r="R98" s="960"/>
      <c r="S98" s="960"/>
      <c r="T98" s="846" t="s">
        <v>2269</v>
      </c>
      <c r="U98" s="846"/>
      <c r="V98" s="846"/>
      <c r="W98" s="846"/>
      <c r="X98" s="846"/>
      <c r="Y98" s="1003"/>
      <c r="Z98" s="849" t="s">
        <v>2267</v>
      </c>
      <c r="AA98" s="852"/>
      <c r="AB98" s="849"/>
      <c r="AC98" s="849"/>
      <c r="AD98" s="849"/>
    </row>
    <row customHeight="1" ht="90">
      <c r="A99" s="848"/>
      <c r="B99" s="902">
        <v>82</v>
      </c>
      <c r="C99" s="846" t="s">
        <v>2270</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1568</v>
      </c>
      <c r="P99" s="960"/>
      <c r="Q99" s="960"/>
      <c r="R99" s="960"/>
      <c r="S99" s="960"/>
      <c r="T99" s="846" t="s">
        <v>2271</v>
      </c>
      <c r="U99" s="846"/>
      <c r="V99" s="846"/>
      <c r="W99" s="846"/>
      <c r="X99" s="846"/>
      <c r="Y99" s="1003"/>
      <c r="Z99" s="849" t="s">
        <v>635</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2272</v>
      </c>
      <c r="P100" s="960"/>
      <c r="Q100" s="960"/>
      <c r="R100" s="960"/>
      <c r="S100" s="960"/>
      <c r="T100" s="846" t="s">
        <v>2273</v>
      </c>
      <c r="U100" s="846"/>
      <c r="V100" s="846"/>
      <c r="W100" s="846"/>
      <c r="X100" s="846"/>
      <c r="Y100" s="1003"/>
      <c r="Z100" s="849" t="s">
        <v>635</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2274</v>
      </c>
      <c r="P101" s="960"/>
      <c r="Q101" s="960"/>
      <c r="R101" s="960"/>
      <c r="S101" s="960"/>
      <c r="T101" s="846" t="s">
        <v>2275</v>
      </c>
      <c r="U101" s="846"/>
      <c r="V101" s="846"/>
      <c r="W101" s="846"/>
      <c r="X101" s="846"/>
      <c r="Y101" s="1003"/>
      <c r="Z101" s="849" t="s">
        <v>635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1722</v>
      </c>
      <c r="B148" s="848"/>
      <c r="C148" s="846" t="s">
        <v>2276</v>
      </c>
      <c r="D148" s="846" t="s">
        <v>1624</v>
      </c>
      <c r="E148" s="846" t="s">
        <v>1724</v>
      </c>
      <c r="F148" s="846" t="s">
        <v>2277</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2278</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2279</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1726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1729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1733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D1A8-DEC1-8177-D756-0.3815544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2280</v>
      </c>
      <c r="M5" s="2625"/>
      <c r="N5" s="2625"/>
      <c r="O5" s="2625"/>
      <c r="P5" s="2625"/>
      <c r="Q5" s="2625"/>
      <c r="R5" s="2625"/>
      <c r="S5" s="2625"/>
      <c r="T5" s="2625"/>
      <c r="U5" s="2625"/>
      <c r="V5" s="1246"/>
      <c r="AD5" s="1158">
        <v>64</v>
      </c>
    </row>
    <row customHeight="1" ht="14.699999999999998">
      <c r="J6" s="379"/>
      <c r="K6" s="379"/>
      <c r="L6" s="2626" t="str">
        <f>IF(org=0,"Не определено",org)</f>
        <v>АО "Водоканал"</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504</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505</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424</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301</v>
      </c>
      <c r="M14" s="2149"/>
      <c r="N14" s="2149"/>
      <c r="O14" s="2149"/>
      <c r="P14" s="2149"/>
      <c r="Q14" s="2149"/>
      <c r="R14" s="2149"/>
      <c r="S14" s="2149"/>
      <c r="T14" s="2149"/>
      <c r="U14" s="2149"/>
      <c r="V14" s="2149"/>
      <c r="W14" s="2149"/>
      <c r="X14" s="2149" t="s">
        <v>302</v>
      </c>
      <c r="AD14" s="1158">
        <v>14</v>
      </c>
    </row>
    <row customHeight="1" ht="14.699999999999998">
      <c r="J15" s="379"/>
      <c r="K15" s="379"/>
      <c r="L15" s="2295" t="s">
        <v>88</v>
      </c>
      <c r="M15" s="2231" t="s">
        <v>425</v>
      </c>
      <c r="N15" s="304"/>
      <c r="O15" s="2296" t="s">
        <v>2281</v>
      </c>
      <c r="P15" s="2297"/>
      <c r="Q15" s="2297"/>
      <c r="R15" s="2297"/>
      <c r="S15" s="2297"/>
      <c r="T15" s="2297"/>
      <c r="U15" s="2298"/>
      <c r="V15" s="2299" t="s">
        <v>427</v>
      </c>
      <c r="W15" s="2302" t="s">
        <v>1206</v>
      </c>
      <c r="X15" s="2149"/>
      <c r="AD15" s="1158">
        <v>14</v>
      </c>
    </row>
    <row customHeight="1" ht="35.699999999999996">
      <c r="J16" s="379"/>
      <c r="K16" s="379"/>
      <c r="L16" s="2295"/>
      <c r="M16" s="2231"/>
      <c r="N16" s="1034"/>
      <c r="O16" s="2282" t="s">
        <v>430</v>
      </c>
      <c r="P16" s="2282" t="s">
        <v>431</v>
      </c>
      <c r="Q16" s="2284" t="s">
        <v>432</v>
      </c>
      <c r="R16" s="2285"/>
      <c r="S16" s="2284" t="s">
        <v>446</v>
      </c>
      <c r="T16" s="2291"/>
      <c r="U16" s="2285"/>
      <c r="V16" s="2300"/>
      <c r="W16" s="2303"/>
      <c r="X16" s="2149"/>
      <c r="AD16" s="1158">
        <v>34</v>
      </c>
    </row>
    <row customHeight="1" ht="35.699999999999996">
      <c r="A17" s="1373" t="s">
        <v>137</v>
      </c>
      <c r="B17" s="1373" t="s">
        <v>138</v>
      </c>
      <c r="C17" s="1373" t="s">
        <v>139</v>
      </c>
      <c r="D17" s="1373" t="s">
        <v>140</v>
      </c>
      <c r="E17" s="1373"/>
      <c r="J17" s="379"/>
      <c r="K17" s="379"/>
      <c r="L17" s="2295"/>
      <c r="M17" s="2231"/>
      <c r="N17" s="305"/>
      <c r="O17" s="2283"/>
      <c r="P17" s="2283"/>
      <c r="Q17" s="1225" t="s">
        <v>441</v>
      </c>
      <c r="R17" s="1225" t="s">
        <v>442</v>
      </c>
      <c r="S17" s="1295" t="s">
        <v>443</v>
      </c>
      <c r="T17" s="2292" t="s">
        <v>444</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99</v>
      </c>
      <c r="M18" s="1258" t="s">
        <v>109</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171</v>
      </c>
      <c r="B19" s="1366" t="s">
        <v>172</v>
      </c>
      <c r="C19" s="1366" t="s">
        <v>173</v>
      </c>
      <c r="D19" s="1366" t="s">
        <v>174</v>
      </c>
      <c r="E19" s="1366"/>
      <c r="F19" s="1368"/>
      <c r="G19" s="1368"/>
      <c r="H19" s="1368"/>
      <c r="I19" s="364"/>
      <c r="J19" s="363"/>
      <c r="K19" s="358"/>
      <c r="L19" s="1296">
        <f>INDEX(PT_DIFFERENTIATION_NUM_NTAR,MATCH(A19,PT_DIFFERENTIATION_NTAR_ID,0))</f>
        <v>0</v>
      </c>
      <c r="M19" s="301" t="s">
        <v>126</v>
      </c>
      <c r="N19" s="303"/>
      <c r="O19" s="2628" t="str">
        <f>INDEX(PT_DIFFERENTIATION_NTAR,MATCH(A19,PT_DIFFERENTIATION_NTAR_ID,0))</f>
        <v/>
      </c>
      <c r="P19" s="2628"/>
      <c r="Q19" s="2628"/>
      <c r="R19" s="2628"/>
      <c r="S19" s="2628"/>
      <c r="T19" s="2628"/>
      <c r="U19" s="2628"/>
      <c r="V19" s="2628"/>
      <c r="W19" s="2628"/>
      <c r="X19" s="1261" t="s">
        <v>397</v>
      </c>
      <c r="Z19" s="503"/>
      <c r="AA19" s="503" t="str">
        <f>IF(M19="","",M19)</f>
        <v>Наименование тарифа</v>
      </c>
      <c r="AB19" s="503"/>
      <c r="AC19" s="503"/>
      <c r="AD19" s="1158">
        <v>20</v>
      </c>
    </row>
    <row customHeight="1" ht="21">
      <c r="A20" s="1366" t="s">
        <v>171</v>
      </c>
      <c r="B20" s="1366" t="s">
        <v>172</v>
      </c>
      <c r="C20" s="1366" t="s">
        <v>173</v>
      </c>
      <c r="D20" s="1366" t="s">
        <v>174</v>
      </c>
      <c r="E20" s="1366"/>
      <c r="F20" s="1368"/>
      <c r="G20" s="1368"/>
      <c r="H20" s="1368"/>
      <c r="I20" s="1293"/>
      <c r="J20" s="355"/>
      <c r="K20" s="356"/>
      <c r="L20" s="1296" t="str">
        <f>INDEX(PT_DIFFERENTIATION_NUM_TER,MATCH(B19,PT_DIFFERENTIATION_TER_ID,0))</f>
        <v>.</v>
      </c>
      <c r="M20" s="311" t="s">
        <v>398</v>
      </c>
      <c r="N20" s="303"/>
      <c r="O20" s="2628" t="str">
        <f>INDEX(PT_DIFFERENTIATION_TER,MATCH(B19,PT_DIFFERENTIATION_TER_ID,0))</f>
        <v/>
      </c>
      <c r="P20" s="2628"/>
      <c r="Q20" s="2628"/>
      <c r="R20" s="2628"/>
      <c r="S20" s="2628"/>
      <c r="T20" s="2628"/>
      <c r="U20" s="2628"/>
      <c r="V20" s="2628"/>
      <c r="W20" s="2628"/>
      <c r="X20" s="1261" t="s">
        <v>399</v>
      </c>
      <c r="Z20" s="503"/>
      <c r="AA20" s="503" t="str">
        <f>IF(M20="","",M20)</f>
        <v>Территория действия тарифа</v>
      </c>
      <c r="AB20" s="503"/>
      <c r="AC20" s="503"/>
      <c r="AD20" s="1158">
        <v>20</v>
      </c>
    </row>
    <row customHeight="1" ht="24">
      <c r="A21" s="1366" t="s">
        <v>171</v>
      </c>
      <c r="B21" s="1366" t="s">
        <v>172</v>
      </c>
      <c r="C21" s="1366" t="s">
        <v>173</v>
      </c>
      <c r="D21" s="1366" t="s">
        <v>174</v>
      </c>
      <c r="E21" s="1366"/>
      <c r="F21" s="1368"/>
      <c r="G21" s="1368"/>
      <c r="H21" s="1368"/>
      <c r="I21" s="357"/>
      <c r="J21" s="355"/>
      <c r="K21" s="356"/>
      <c r="L21" s="1296" t="str">
        <f>INDEX(PT_DIFFERENTIATION_NUM_CS,MATCH(C19,PT_DIFFERENTIATION_CS_ID,0))</f>
        <v>..</v>
      </c>
      <c r="M21" s="312" t="s">
        <v>400</v>
      </c>
      <c r="N21" s="303"/>
      <c r="O21" s="2628" t="str">
        <f>INDEX(PT_DIFFERENTIATION_CS,MATCH(C19,PT_DIFFERENTIATION_CS_ID,0))</f>
        <v/>
      </c>
      <c r="P21" s="2628"/>
      <c r="Q21" s="2628"/>
      <c r="R21" s="2628"/>
      <c r="S21" s="2628"/>
      <c r="T21" s="2628"/>
      <c r="U21" s="2628"/>
      <c r="V21" s="2628"/>
      <c r="W21" s="2628"/>
      <c r="X21" s="1261" t="s">
        <v>401</v>
      </c>
      <c r="Z21" s="503"/>
      <c r="AA21" s="503" t="str">
        <f>IF(M21="","",M21)</f>
        <v>Наименование системы теплоснабжения </v>
      </c>
      <c r="AB21" s="503"/>
      <c r="AC21" s="503"/>
      <c r="AD21" s="1158">
        <v>23</v>
      </c>
    </row>
    <row customHeight="1" ht="21">
      <c r="A22" s="1366" t="s">
        <v>171</v>
      </c>
      <c r="B22" s="1366" t="s">
        <v>172</v>
      </c>
      <c r="C22" s="1366" t="s">
        <v>173</v>
      </c>
      <c r="D22" s="1366" t="s">
        <v>174</v>
      </c>
      <c r="E22" s="1366"/>
      <c r="F22" s="1368"/>
      <c r="G22" s="1368"/>
      <c r="H22" s="1368"/>
      <c r="I22" s="357"/>
      <c r="J22" s="355"/>
      <c r="K22" s="356"/>
      <c r="L22" s="1296" t="str">
        <f>INDEX(PT_DIFFERENTIATION_NUM_IST_TE,MATCH(D19,PT_DIFFERENTIATION_IST_TE_ID,0))</f>
        <v>...</v>
      </c>
      <c r="M22" s="313" t="s">
        <v>402</v>
      </c>
      <c r="N22" s="303"/>
      <c r="O22" s="2628" t="str">
        <f>INDEX(PT_DIFFERENTIATION_IST_TE,MATCH(D19,PT_DIFFERENTIATION_IST_TE_ID,0))</f>
        <v/>
      </c>
      <c r="P22" s="2628"/>
      <c r="Q22" s="2628"/>
      <c r="R22" s="2628"/>
      <c r="S22" s="2628"/>
      <c r="T22" s="2628"/>
      <c r="U22" s="2628"/>
      <c r="V22" s="2628"/>
      <c r="W22" s="2628"/>
      <c r="X22" s="1261" t="s">
        <v>403</v>
      </c>
      <c r="Z22" s="503"/>
      <c r="AA22" s="503" t="str">
        <f>IF(M22="","",M22)</f>
        <v>Источник тепловой энергии  </v>
      </c>
      <c r="AB22" s="503"/>
      <c r="AC22" s="503"/>
      <c r="AD22" s="1158">
        <v>20</v>
      </c>
    </row>
    <row customHeight="1" ht="96.75">
      <c r="A23" s="1366" t="s">
        <v>171</v>
      </c>
      <c r="B23" s="1366" t="s">
        <v>172</v>
      </c>
      <c r="C23" s="1366" t="s">
        <v>173</v>
      </c>
      <c r="D23" s="1366" t="s">
        <v>174</v>
      </c>
      <c r="E23" s="1366"/>
      <c r="F23" s="2629" t="str">
        <f>L22&amp;".1"</f>
        <v>....1</v>
      </c>
      <c r="I23" s="2279">
        <v>1</v>
      </c>
      <c r="J23" s="1294"/>
      <c r="K23" s="359"/>
      <c r="L23" s="1296" t="str">
        <f>$F$23</f>
        <v>....1</v>
      </c>
      <c r="M23" s="288" t="s">
        <v>405</v>
      </c>
      <c r="N23" s="303"/>
      <c r="O23" s="2327"/>
      <c r="P23" s="2327"/>
      <c r="Q23" s="2327"/>
      <c r="R23" s="2327"/>
      <c r="S23" s="2327"/>
      <c r="T23" s="2327"/>
      <c r="U23" s="2327"/>
      <c r="V23" s="2327"/>
      <c r="W23" s="2327"/>
      <c r="X23" s="1261" t="s">
        <v>406</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171</v>
      </c>
      <c r="B24" s="1366" t="s">
        <v>172</v>
      </c>
      <c r="C24" s="1366" t="s">
        <v>173</v>
      </c>
      <c r="D24" s="1366" t="s">
        <v>174</v>
      </c>
      <c r="E24" s="1366"/>
      <c r="F24" s="2629"/>
      <c r="G24" s="2239" t="str">
        <f>F23&amp;".1"</f>
        <v>....1.1</v>
      </c>
      <c r="I24" s="2279"/>
      <c r="J24" s="2279">
        <v>1</v>
      </c>
      <c r="K24" s="360"/>
      <c r="L24" s="1296" t="str">
        <f>$G$24</f>
        <v>....1.1</v>
      </c>
      <c r="M24" s="289" t="s">
        <v>408</v>
      </c>
      <c r="N24" s="303"/>
      <c r="O24" s="2267"/>
      <c r="P24" s="2268"/>
      <c r="Q24" s="2268"/>
      <c r="R24" s="2268"/>
      <c r="S24" s="2268"/>
      <c r="T24" s="2268"/>
      <c r="U24" s="2268"/>
      <c r="V24" s="2268"/>
      <c r="W24" s="2269"/>
      <c r="X24" s="1261" t="s">
        <v>409</v>
      </c>
      <c r="Z24" s="503"/>
      <c r="AA24" s="503" t="str">
        <f>IF(M24="","",M24)</f>
        <v>Группа потребителей</v>
      </c>
      <c r="AB24" s="503"/>
      <c r="AC24" s="503"/>
      <c r="AD24" s="1158">
        <v>82</v>
      </c>
    </row>
    <row customHeight="1" ht="11.549999999999999">
      <c r="A25" s="1366" t="s">
        <v>171</v>
      </c>
      <c r="B25" s="1366" t="s">
        <v>172</v>
      </c>
      <c r="C25" s="1366" t="s">
        <v>173</v>
      </c>
      <c r="D25" s="1366" t="s">
        <v>174</v>
      </c>
      <c r="E25" s="1366"/>
      <c r="F25" s="2629"/>
      <c r="G25" s="2239"/>
      <c r="H25" s="2239" t="str">
        <f>G24&amp;".1"</f>
        <v>....1.1.1</v>
      </c>
      <c r="I25" s="2279"/>
      <c r="J25" s="2279"/>
      <c r="K25" s="360">
        <v>1</v>
      </c>
      <c r="L25" s="1296" t="str">
        <f>$H$25</f>
        <v>....1.1.1</v>
      </c>
      <c r="M25" s="1350"/>
      <c r="N25" s="303"/>
      <c r="O25" s="754"/>
      <c r="P25" s="328"/>
      <c r="Q25" s="754"/>
      <c r="R25" s="1260"/>
      <c r="S25" s="2624"/>
      <c r="T25" s="2129" t="s">
        <v>62</v>
      </c>
      <c r="U25" s="2624"/>
      <c r="V25" s="2129" t="s">
        <v>19</v>
      </c>
      <c r="W25" s="328"/>
      <c r="X25" s="2275" t="s">
        <v>411</v>
      </c>
      <c r="Y25" s="514">
        <f>STRCHECKDATE(O26:W26)</f>
      </c>
      <c r="Z25" s="503"/>
      <c r="AA25" s="503" t="str">
        <f>IF(M25="","",M25)</f>
        <v/>
      </c>
      <c r="AB25" s="503"/>
      <c r="AC25" s="503"/>
      <c r="AD25" s="1158">
        <v>11</v>
      </c>
    </row>
    <row customHeight="1" ht="11.549999999999999">
      <c r="A26" s="1366" t="s">
        <v>171</v>
      </c>
      <c r="B26" s="1366" t="s">
        <v>172</v>
      </c>
      <c r="C26" s="1366" t="s">
        <v>173</v>
      </c>
      <c r="D26" s="1366" t="s">
        <v>174</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171</v>
      </c>
      <c r="B27" s="1366" t="s">
        <v>172</v>
      </c>
      <c r="C27" s="1366" t="s">
        <v>173</v>
      </c>
      <c r="D27" s="1366" t="s">
        <v>174</v>
      </c>
      <c r="E27" s="1366"/>
      <c r="F27" s="2629"/>
      <c r="G27" s="2239"/>
      <c r="I27" s="2279"/>
      <c r="J27" s="2279"/>
      <c r="K27" s="359"/>
      <c r="L27" s="1281"/>
      <c r="M27" s="291" t="s">
        <v>412</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171</v>
      </c>
      <c r="B28" s="1366" t="s">
        <v>172</v>
      </c>
      <c r="C28" s="1366" t="s">
        <v>173</v>
      </c>
      <c r="D28" s="1366" t="s">
        <v>174</v>
      </c>
      <c r="E28" s="1366"/>
      <c r="F28" s="2629"/>
      <c r="I28" s="2279"/>
      <c r="J28" s="1294"/>
      <c r="K28" s="359"/>
      <c r="L28" s="1281"/>
      <c r="M28" s="290" t="s">
        <v>413</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171</v>
      </c>
      <c r="B29" s="1366" t="s">
        <v>172</v>
      </c>
      <c r="C29" s="1366" t="s">
        <v>173</v>
      </c>
      <c r="D29" s="1366" t="s">
        <v>174</v>
      </c>
      <c r="E29" s="1366"/>
      <c r="F29" s="1368"/>
      <c r="G29" s="1368"/>
      <c r="H29" s="540"/>
      <c r="I29" s="363"/>
      <c r="J29" s="378"/>
      <c r="K29" s="358"/>
      <c r="L29" s="1281"/>
      <c r="M29" s="368" t="s">
        <v>414</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171</v>
      </c>
      <c r="B30" s="1366" t="s">
        <v>172</v>
      </c>
      <c r="C30" s="1366" t="s">
        <v>173</v>
      </c>
      <c r="D30" s="1366"/>
      <c r="E30" s="1366" t="s">
        <v>590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171</v>
      </c>
      <c r="B31" s="1366" t="s">
        <v>172</v>
      </c>
      <c r="C31" s="1366"/>
      <c r="D31" s="1366"/>
      <c r="E31" s="1366" t="s">
        <v>2282</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2283</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825</v>
      </c>
      <c r="M35" s="2307" t="s">
        <v>2284</v>
      </c>
      <c r="N35" s="2307"/>
      <c r="O35" s="2307"/>
      <c r="P35" s="2307"/>
      <c r="Q35" s="2307"/>
      <c r="R35" s="2307"/>
      <c r="S35" s="2307"/>
      <c r="T35" s="2307"/>
      <c r="U35" s="2307"/>
      <c r="V35" s="2307"/>
      <c r="W35" s="2307"/>
      <c r="X35" s="2307"/>
      <c r="AD35" s="1158">
        <v>27</v>
      </c>
    </row>
    <row customHeight="1" ht="109.19999999999999">
      <c r="H36" s="540"/>
      <c r="I36" s="1306"/>
      <c r="M36" s="2307" t="s">
        <v>2285</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5F496-15BE-3EB8-5209-0.18DABB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A041A-4C8F-F672-E958-0.E43401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FD004-98C4-1E89-9281-0.D4E0EC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D60F3-0F44-7F25-BE94-0.3FA5AD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65739-5058-B26E-CD21-0.38EC99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DCFB8-15E3-153F-E3A5-0.20702BD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300</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об организации, осуществляющей холодное водоснабжение (общая информация)</v>
      </c>
      <c r="E4" s="2180"/>
      <c r="F4" s="2181"/>
      <c r="I4" s="718"/>
      <c r="J4" s="458">
        <v>26</v>
      </c>
    </row>
    <row customHeight="1" ht="18">
      <c r="D5" s="2198" t="str">
        <f>IF(org=0,"Не определено",org)</f>
        <v>АО "Водоканал"</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301</v>
      </c>
      <c r="E8" s="2227"/>
      <c r="F8" s="2227"/>
      <c r="G8" s="2230" t="s">
        <v>302</v>
      </c>
      <c r="J8" s="458">
        <v>11</v>
      </c>
    </row>
    <row customHeight="1" ht="11.549999999999999">
      <c r="A9" s="460"/>
      <c r="B9" s="505"/>
      <c r="C9" s="460"/>
      <c r="D9" s="475" t="s">
        <v>88</v>
      </c>
      <c r="E9" s="449" t="s">
        <v>303</v>
      </c>
      <c r="F9" s="449" t="s">
        <v>304</v>
      </c>
      <c r="G9" s="2231"/>
      <c r="J9" s="458">
        <v>11</v>
      </c>
    </row>
    <row customHeight="1" ht="12" hidden="1">
      <c r="A10" s="460"/>
      <c r="B10" s="505"/>
      <c r="C10" s="460"/>
      <c r="D10" s="467"/>
      <c r="E10" s="467"/>
      <c r="F10" s="467"/>
      <c r="G10" s="467"/>
      <c r="J10" s="458">
        <v>0</v>
      </c>
    </row>
    <row customHeight="1" ht="22.5" hidden="1">
      <c r="A11" s="460"/>
      <c r="B11" s="505"/>
      <c r="C11" s="460"/>
      <c r="D11" s="1012" t="s">
        <v>99</v>
      </c>
      <c r="E11" s="1015" t="s">
        <v>305</v>
      </c>
      <c r="F11" s="1014" t="str">
        <f>IF(region_name="","",region_name)</f>
        <v>Республика Алтай</v>
      </c>
      <c r="G11" s="1015" t="s">
        <v>306</v>
      </c>
      <c r="H11" s="478"/>
      <c r="J11" s="458">
        <v>0</v>
      </c>
    </row>
    <row customHeight="1" ht="22.5" hidden="1">
      <c r="A12" s="460"/>
      <c r="B12" s="505"/>
      <c r="C12" s="460"/>
      <c r="D12" s="448" t="s">
        <v>99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307</v>
      </c>
      <c r="G12" s="477"/>
      <c r="H12" s="478"/>
      <c r="J12" s="458">
        <v>0</v>
      </c>
    </row>
    <row customHeight="1" ht="23.25">
      <c r="A13" s="460"/>
      <c r="B13" s="505"/>
      <c r="C13" s="460"/>
      <c r="D13" s="448" t="s">
        <v>99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308</v>
      </c>
      <c r="E14" s="1013" t="s">
        <v>309</v>
      </c>
      <c r="F14" s="1014" t="str">
        <f>IF(inn="","",inn)</f>
        <v>0411122728</v>
      </c>
      <c r="G14" s="1015" t="s">
        <v>310</v>
      </c>
      <c r="H14" s="478"/>
      <c r="J14" s="458">
        <v>0</v>
      </c>
    </row>
    <row customHeight="1" ht="22.5" hidden="1">
      <c r="A15" s="460"/>
      <c r="B15" s="505"/>
      <c r="C15" s="460"/>
      <c r="D15" s="1012" t="s">
        <v>311</v>
      </c>
      <c r="E15" s="1013" t="s">
        <v>312</v>
      </c>
      <c r="F15" s="1014" t="str">
        <f>IF(kpp="","",kpp)</f>
        <v>041101001</v>
      </c>
      <c r="G15" s="1015" t="s">
        <v>313</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314</v>
      </c>
      <c r="B19" s="505"/>
      <c r="C19" s="2235"/>
      <c r="D19" s="448" t="str">
        <f>A19</f>
        <v>5.1</v>
      </c>
      <c r="E19" s="445" t="s">
        <v>315</v>
      </c>
      <c r="F19" s="446" t="s">
        <v>307</v>
      </c>
      <c r="G19" s="447" t="s">
        <v>316</v>
      </c>
      <c r="H19" s="478"/>
      <c r="I19" s="855"/>
      <c r="J19" s="458">
        <v>0</v>
      </c>
    </row>
    <row customHeight="1" ht="24" hidden="1">
      <c r="A20" s="2224"/>
      <c r="B20" s="505"/>
      <c r="C20" s="2235"/>
      <c r="D20" s="443" t="str">
        <f>D19&amp;".1"</f>
        <v>5.1.1</v>
      </c>
      <c r="E20" s="442" t="s">
        <v>317</v>
      </c>
      <c r="F20" s="884" t="s">
        <v>22</v>
      </c>
      <c r="G20" s="477"/>
      <c r="H20" s="478"/>
      <c r="I20" s="855"/>
      <c r="J20" s="458">
        <v>0</v>
      </c>
    </row>
    <row customHeight="1" ht="22.5" hidden="1">
      <c r="A21" s="2224"/>
      <c r="B21" s="505"/>
      <c r="C21" s="2235"/>
      <c r="D21" s="443" t="str">
        <f>D19&amp;".2"</f>
        <v>5.1.2</v>
      </c>
      <c r="E21" s="442" t="s">
        <v>318</v>
      </c>
      <c r="F21" s="1735" t="s">
        <v>22</v>
      </c>
      <c r="G21" s="447" t="s">
        <v>319</v>
      </c>
      <c r="H21" s="478"/>
      <c r="I21" s="855"/>
      <c r="J21" s="458">
        <v>0</v>
      </c>
    </row>
    <row customHeight="1" ht="22.5" hidden="1">
      <c r="A22" s="2224"/>
      <c r="B22" s="505"/>
      <c r="C22" s="2235"/>
      <c r="D22" s="443" t="str">
        <f>D19&amp;".3"</f>
        <v>5.1.3</v>
      </c>
      <c r="E22" s="442" t="s">
        <v>320</v>
      </c>
      <c r="F22" s="884" t="s">
        <v>22</v>
      </c>
      <c r="G22" s="477"/>
      <c r="H22" s="478"/>
      <c r="I22" s="855"/>
      <c r="J22" s="458">
        <v>0</v>
      </c>
    </row>
    <row customHeight="1" ht="22.5" hidden="1">
      <c r="A23" s="2224"/>
      <c r="B23" s="505"/>
      <c r="C23" s="2235"/>
      <c r="D23" s="443" t="str">
        <f>D19&amp;".4"</f>
        <v>5.1.4</v>
      </c>
      <c r="E23" s="442" t="s">
        <v>321</v>
      </c>
      <c r="F23" s="884" t="s">
        <v>22</v>
      </c>
      <c r="G23" s="447" t="s">
        <v>322</v>
      </c>
      <c r="H23" s="478"/>
      <c r="I23" s="855"/>
      <c r="J23" s="458">
        <v>0</v>
      </c>
    </row>
    <row customHeight="1" ht="22.5" hidden="1">
      <c r="A24" s="1978"/>
      <c r="B24" s="505"/>
      <c r="C24" s="495"/>
      <c r="D24" s="470"/>
      <c r="E24" s="1171" t="s">
        <v>323</v>
      </c>
      <c r="F24" s="471"/>
      <c r="G24" s="472"/>
      <c r="H24" s="478"/>
      <c r="I24" s="855"/>
      <c r="J24" s="458">
        <v>0</v>
      </c>
    </row>
    <row s="504" customFormat="1" customHeight="1" ht="24.75" hidden="1">
      <c r="A25" s="460"/>
      <c r="B25" s="505"/>
      <c r="C25" s="505"/>
      <c r="D25" s="1009" t="s">
        <v>90</v>
      </c>
      <c r="E25" s="1011" t="s">
        <v>324</v>
      </c>
      <c r="F25" s="1016" t="s">
        <v>307</v>
      </c>
      <c r="G25" s="1011"/>
      <c r="J25" s="504">
        <v>0</v>
      </c>
    </row>
    <row s="504" customFormat="1" customHeight="1" ht="11.25" hidden="1">
      <c r="A26" s="460"/>
      <c r="B26" s="505"/>
      <c r="C26" s="505"/>
      <c r="D26" s="1009" t="s">
        <v>325</v>
      </c>
      <c r="E26" s="1010" t="s">
        <v>326</v>
      </c>
      <c r="F26" s="1016" t="s">
        <v>307</v>
      </c>
      <c r="G26" s="1011"/>
      <c r="J26" s="504">
        <v>0</v>
      </c>
    </row>
    <row s="504" customFormat="1" customHeight="1" ht="11.25" hidden="1">
      <c r="A27" s="460"/>
      <c r="B27" s="505"/>
      <c r="C27" s="505"/>
      <c r="D27" s="1009" t="s">
        <v>327</v>
      </c>
      <c r="E27" s="1017" t="s">
        <v>328</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329</v>
      </c>
      <c r="E28" s="1017" t="s">
        <v>330</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331</v>
      </c>
      <c r="E29" s="1017" t="s">
        <v>332</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333</v>
      </c>
      <c r="E30" s="1010" t="s">
        <v>334</v>
      </c>
      <c r="F30" s="1018"/>
      <c r="G30" s="1011"/>
      <c r="J30" s="504">
        <v>0</v>
      </c>
    </row>
    <row s="504" customFormat="1" customHeight="1" ht="11.25" hidden="1">
      <c r="A31" s="460"/>
      <c r="B31" s="505"/>
      <c r="C31" s="505"/>
      <c r="D31" s="1009" t="s">
        <v>335</v>
      </c>
      <c r="E31" s="1010" t="s">
        <v>336</v>
      </c>
      <c r="F31" s="1018"/>
      <c r="G31" s="1011"/>
      <c r="J31" s="504">
        <v>0</v>
      </c>
    </row>
    <row s="504" customFormat="1" customHeight="1" ht="11.25" hidden="1">
      <c r="A32" s="460"/>
      <c r="B32" s="505"/>
      <c r="C32" s="505"/>
      <c r="D32" s="1009" t="s">
        <v>337</v>
      </c>
      <c r="E32" s="1010" t="s">
        <v>338</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307</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339</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339</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307</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33"/>
      <c r="H40" s="478"/>
      <c r="J40" s="458">
        <v>0</v>
      </c>
    </row>
    <row customHeight="1" ht="23.25">
      <c r="A41" s="460"/>
      <c r="B41" s="460"/>
      <c r="C41" s="1690"/>
      <c r="D41" s="443" t="str">
        <f>D39&amp;".1"</f>
        <v>8.1</v>
      </c>
      <c r="E41" s="863"/>
      <c r="F41" s="864"/>
      <c r="G41" s="2233"/>
      <c r="H41" s="478"/>
      <c r="J41" s="458">
        <v>22</v>
      </c>
    </row>
    <row customHeight="1" ht="15.75">
      <c r="A42" s="460"/>
      <c r="B42" s="505"/>
      <c r="C42" s="460"/>
      <c r="D42" s="470"/>
      <c r="E42" s="418" t="s">
        <v>340</v>
      </c>
      <c r="F42" s="472"/>
      <c r="G42" s="2234"/>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341</v>
      </c>
      <c r="H44" s="478"/>
      <c r="J44" s="458">
        <v>22</v>
      </c>
    </row>
    <row customHeight="1" ht="23.25">
      <c r="A45" s="460"/>
      <c r="B45" s="505"/>
      <c r="C45" s="460"/>
      <c r="D45" s="443">
        <f>D44+1</f>
        <v>11</v>
      </c>
      <c r="E45" s="441" t="s">
        <v>342</v>
      </c>
      <c r="F45" s="446" t="s">
        <v>307</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6"/>
      <c r="G46" s="440" t="s">
        <v>343</v>
      </c>
      <c r="H46" s="478"/>
      <c r="J46" s="458">
        <v>23</v>
      </c>
    </row>
    <row customHeight="1" ht="24">
      <c r="A47" s="2224"/>
      <c r="B47" s="505"/>
      <c r="C47" s="495"/>
      <c r="D47" s="443" t="str">
        <f>D45&amp;".2"</f>
        <v>11.2</v>
      </c>
      <c r="E47" s="445" t="s">
        <v>344</v>
      </c>
      <c r="F47" s="493"/>
      <c r="G47" s="440" t="s">
        <v>345</v>
      </c>
      <c r="H47" s="478"/>
      <c r="J47" s="458">
        <v>23</v>
      </c>
    </row>
    <row customHeight="1" ht="24">
      <c r="A48" s="2224"/>
      <c r="B48" s="505"/>
      <c r="C48" s="495"/>
      <c r="D48" s="443" t="str">
        <f>D45&amp;".3"</f>
        <v>11.3</v>
      </c>
      <c r="E48" s="445" t="s">
        <v>346</v>
      </c>
      <c r="F48" s="493"/>
      <c r="G48" s="440" t="s">
        <v>347</v>
      </c>
      <c r="H48" s="478"/>
      <c r="J48" s="458">
        <v>23</v>
      </c>
    </row>
    <row customHeight="1" ht="24">
      <c r="A49" s="2224"/>
      <c r="B49" s="505"/>
      <c r="C49" s="495"/>
      <c r="D49" s="443" t="str">
        <f>IF(TEMPLATE_SPHERE="TKO",D45&amp;".0",D45&amp;".4")</f>
        <v>11.4</v>
      </c>
      <c r="E49" s="439" t="s">
        <v>348</v>
      </c>
      <c r="F49" s="1687"/>
      <c r="G49" s="1764" t="s">
        <v>349</v>
      </c>
      <c r="H49" s="478"/>
      <c r="J49" s="458">
        <v>23</v>
      </c>
    </row>
    <row customHeight="1" ht="24">
      <c r="A50" s="460"/>
      <c r="B50" s="505"/>
      <c r="C50" s="460"/>
      <c r="D50" s="470"/>
      <c r="E50" s="418" t="s">
        <v>350</v>
      </c>
      <c r="F50" s="471"/>
      <c r="G50" s="1764" t="s">
        <v>351</v>
      </c>
      <c r="H50" s="479"/>
      <c r="J50" s="458">
        <v>23</v>
      </c>
    </row>
    <row customHeight="1" ht="24">
      <c r="A51" s="861"/>
      <c r="B51" s="505"/>
      <c r="C51" s="495"/>
      <c r="D51" s="443">
        <f>D45+1</f>
        <v>12</v>
      </c>
      <c r="E51" s="531" t="s">
        <v>352</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57447-55C8-C304-ABF5-0.545F0E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48F5A-72F5-6E0B-E903-0.F2F430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BFE5B-02E1-4329-6E55-0.80D7352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97A51-4CC4-CEEA-E74A-0.01203A53}"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2286</v>
      </c>
      <c r="B1" s="2642" t="s">
        <v>2287</v>
      </c>
      <c r="C1" s="2643" t="s">
        <v>2288</v>
      </c>
      <c r="D1" s="2644"/>
      <c r="E1" s="839" t="s">
        <v>2289</v>
      </c>
    </row>
    <row customHeight="1" ht="11.25">
      <c r="A2" s="2645"/>
      <c r="B2" s="768" t="s">
        <v>27</v>
      </c>
      <c r="C2" s="756"/>
      <c r="D2" s="767"/>
      <c r="E2" s="839"/>
    </row>
    <row customHeight="1" ht="11.25">
      <c r="A3" s="2646"/>
      <c r="B3" s="2647" t="s">
        <v>33</v>
      </c>
      <c r="C3" s="756"/>
      <c r="D3" s="767"/>
      <c r="E3" s="839"/>
    </row>
    <row customHeight="1" ht="11.25">
      <c r="A4" s="2648"/>
      <c r="B4" s="769" t="s">
        <v>1722</v>
      </c>
      <c r="C4" s="756"/>
      <c r="D4" s="767"/>
      <c r="E4" s="839"/>
    </row>
    <row customHeight="1" ht="11.25">
      <c r="A5" s="2649"/>
      <c r="B5" s="769" t="s">
        <v>1717</v>
      </c>
      <c r="C5" s="2650" t="s">
        <v>2056</v>
      </c>
      <c r="D5" s="2651" t="s">
        <v>2290</v>
      </c>
      <c r="E5" s="839"/>
    </row>
    <row s="1850" customFormat="1" customHeight="1" ht="11.25">
      <c r="A6" s="2652"/>
      <c r="B6" s="769" t="s">
        <v>1726</v>
      </c>
      <c r="C6" s="756"/>
      <c r="D6" s="767"/>
      <c r="E6" s="839"/>
    </row>
    <row customHeight="1" ht="11.25">
      <c r="A7" s="2653"/>
      <c r="B7" s="769" t="s">
        <v>1733</v>
      </c>
      <c r="C7" s="756"/>
      <c r="D7" s="767"/>
      <c r="E7" s="839"/>
    </row>
    <row customHeight="1" ht="11.25">
      <c r="A8" s="759"/>
      <c r="B8" s="769" t="s">
        <v>1729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86CF7-AE31-D572-5AD6-0.1BEBD6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A469C-5654-CF4C-5854-0.A6ADB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F92E5-7EF3-1746-E637-0.D1B1D2D3}" mc:Ignorable="x14ac xr xr2 xr3">
  <sheetPr>
    <tabColor rgb="FFFFCC99"/>
  </sheetPr>
  <dimension ref="A1:I91"/>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2291</v>
      </c>
      <c r="B1" s="71" t="s">
        <v>2292</v>
      </c>
      <c r="C1" s="65" t="s">
        <v>2293</v>
      </c>
      <c r="D1" s="65" t="s">
        <v>2294</v>
      </c>
      <c r="E1" s="65" t="s">
        <v>2295</v>
      </c>
      <c r="F1" s="65" t="s">
        <v>2296</v>
      </c>
      <c r="G1" s="65" t="s">
        <v>2297</v>
      </c>
      <c r="H1" s="65" t="s">
        <v>2298</v>
      </c>
      <c r="I1" s="65" t="s">
        <v>2299</v>
      </c>
    </row>
    <row customHeight="1" ht="11.25">
      <c r="A2" s="1850" t="s">
        <v>2300</v>
      </c>
      <c r="B2" s="1850" t="s">
        <v>16</v>
      </c>
      <c r="C2" s="65" t="s">
        <v>2301</v>
      </c>
      <c r="D2" s="65" t="s">
        <v>2302</v>
      </c>
      <c r="E2" s="65" t="s">
        <v>2303</v>
      </c>
      <c r="F2" s="65" t="s">
        <v>2304</v>
      </c>
      <c r="G2" s="65" t="s">
        <v>22</v>
      </c>
      <c r="H2" s="65" t="s">
        <v>22</v>
      </c>
      <c r="I2" s="65" t="s">
        <v>829</v>
      </c>
    </row>
    <row customHeight="1" ht="11.25">
      <c r="A3" s="1850" t="s">
        <v>2300</v>
      </c>
      <c r="B3" s="1850" t="s">
        <v>16</v>
      </c>
      <c r="C3" s="0" t="s">
        <v>2305</v>
      </c>
      <c r="D3" s="0" t="s">
        <v>2306</v>
      </c>
      <c r="E3" s="0" t="s">
        <v>2307</v>
      </c>
      <c r="F3" s="0" t="s">
        <v>2308</v>
      </c>
      <c r="G3" s="0" t="s">
        <v>22</v>
      </c>
      <c r="H3" s="0" t="s">
        <v>22</v>
      </c>
      <c r="I3" s="0" t="s">
        <v>829</v>
      </c>
    </row>
    <row customHeight="1" ht="11.25">
      <c r="A4" s="1850" t="s">
        <v>2300</v>
      </c>
      <c r="B4" s="1850" t="s">
        <v>16</v>
      </c>
      <c r="C4" s="0" t="s">
        <v>2309</v>
      </c>
      <c r="D4" s="0" t="s">
        <v>2310</v>
      </c>
      <c r="E4" s="0" t="s">
        <v>2311</v>
      </c>
      <c r="F4" s="0" t="s">
        <v>51</v>
      </c>
      <c r="G4" s="0" t="s">
        <v>2312</v>
      </c>
      <c r="H4" s="0" t="s">
        <v>22</v>
      </c>
      <c r="I4" s="0" t="s">
        <v>829</v>
      </c>
    </row>
    <row customHeight="1" ht="11.25">
      <c r="A5" s="1850" t="s">
        <v>2300</v>
      </c>
      <c r="B5" s="1850" t="s">
        <v>16</v>
      </c>
      <c r="C5" s="0" t="s">
        <v>22</v>
      </c>
      <c r="D5" s="0" t="s">
        <v>2313</v>
      </c>
      <c r="E5" s="0" t="s">
        <v>2314</v>
      </c>
      <c r="F5" s="0" t="s">
        <v>51</v>
      </c>
      <c r="G5" s="0" t="s">
        <v>22</v>
      </c>
      <c r="H5" s="0" t="s">
        <v>22</v>
      </c>
      <c r="I5" s="0" t="s">
        <v>829</v>
      </c>
    </row>
    <row customHeight="1" ht="11.25">
      <c r="A6" s="1850" t="s">
        <v>2300</v>
      </c>
      <c r="B6" s="1850" t="s">
        <v>16</v>
      </c>
      <c r="C6" s="0" t="s">
        <v>2315</v>
      </c>
      <c r="D6" s="0" t="s">
        <v>2316</v>
      </c>
      <c r="E6" s="0" t="s">
        <v>2317</v>
      </c>
      <c r="F6" s="0" t="s">
        <v>2318</v>
      </c>
      <c r="G6" s="0" t="s">
        <v>2319</v>
      </c>
      <c r="H6" s="0" t="s">
        <v>22</v>
      </c>
      <c r="I6" s="0" t="s">
        <v>829</v>
      </c>
    </row>
    <row customHeight="1" ht="11.25">
      <c r="A7" s="1850" t="s">
        <v>2300</v>
      </c>
      <c r="B7" s="1850" t="s">
        <v>16</v>
      </c>
      <c r="C7" s="0" t="s">
        <v>2320</v>
      </c>
      <c r="D7" s="0" t="s">
        <v>2321</v>
      </c>
      <c r="E7" s="0" t="s">
        <v>2322</v>
      </c>
      <c r="F7" s="0" t="s">
        <v>51</v>
      </c>
      <c r="G7" s="0" t="s">
        <v>2323</v>
      </c>
      <c r="H7" s="0" t="s">
        <v>22</v>
      </c>
      <c r="I7" s="0" t="s">
        <v>829</v>
      </c>
    </row>
    <row customHeight="1" ht="11.25">
      <c r="A8" s="1850" t="s">
        <v>2300</v>
      </c>
      <c r="B8" s="1850" t="s">
        <v>16</v>
      </c>
      <c r="C8" s="0" t="s">
        <v>2324</v>
      </c>
      <c r="D8" s="0" t="s">
        <v>2325</v>
      </c>
      <c r="E8" s="0" t="s">
        <v>2326</v>
      </c>
      <c r="F8" s="0" t="s">
        <v>2318</v>
      </c>
      <c r="G8" s="0" t="s">
        <v>2327</v>
      </c>
      <c r="H8" s="0" t="s">
        <v>22</v>
      </c>
      <c r="I8" s="0" t="s">
        <v>829</v>
      </c>
    </row>
    <row customHeight="1" ht="11.25">
      <c r="A9" s="1850" t="s">
        <v>2300</v>
      </c>
      <c r="B9" s="1850" t="s">
        <v>16</v>
      </c>
      <c r="C9" s="0" t="s">
        <v>22</v>
      </c>
      <c r="D9" s="0" t="s">
        <v>2328</v>
      </c>
      <c r="E9" s="0" t="s">
        <v>2329</v>
      </c>
      <c r="F9" s="0" t="s">
        <v>51</v>
      </c>
      <c r="G9" s="0" t="s">
        <v>22</v>
      </c>
      <c r="H9" s="0" t="s">
        <v>22</v>
      </c>
      <c r="I9" s="0" t="s">
        <v>829</v>
      </c>
    </row>
    <row customHeight="1" ht="11.25">
      <c r="A10" s="1850" t="s">
        <v>2300</v>
      </c>
      <c r="B10" s="1850" t="s">
        <v>16</v>
      </c>
      <c r="C10" s="0" t="s">
        <v>2330</v>
      </c>
      <c r="D10" s="0" t="s">
        <v>2331</v>
      </c>
      <c r="E10" s="0" t="s">
        <v>2332</v>
      </c>
      <c r="F10" s="0" t="s">
        <v>2318</v>
      </c>
      <c r="G10" s="0" t="s">
        <v>22</v>
      </c>
      <c r="H10" s="0" t="s">
        <v>22</v>
      </c>
      <c r="I10" s="0" t="s">
        <v>829</v>
      </c>
    </row>
    <row customHeight="1" ht="11.25">
      <c r="A11" s="1850" t="s">
        <v>2300</v>
      </c>
      <c r="B11" s="1850" t="s">
        <v>16</v>
      </c>
      <c r="C11" s="0" t="s">
        <v>2333</v>
      </c>
      <c r="D11" s="0" t="s">
        <v>2334</v>
      </c>
      <c r="E11" s="0" t="s">
        <v>2335</v>
      </c>
      <c r="F11" s="0" t="s">
        <v>2318</v>
      </c>
      <c r="G11" s="0" t="s">
        <v>2336</v>
      </c>
      <c r="H11" s="0" t="s">
        <v>22</v>
      </c>
      <c r="I11" s="0" t="s">
        <v>829</v>
      </c>
    </row>
    <row customHeight="1" ht="11.25">
      <c r="A12" s="1850" t="s">
        <v>2300</v>
      </c>
      <c r="B12" s="1850" t="s">
        <v>16</v>
      </c>
      <c r="C12" s="0" t="s">
        <v>2337</v>
      </c>
      <c r="D12" s="0" t="s">
        <v>2338</v>
      </c>
      <c r="E12" s="0" t="s">
        <v>2339</v>
      </c>
      <c r="F12" s="0" t="s">
        <v>51</v>
      </c>
      <c r="G12" s="0" t="s">
        <v>2340</v>
      </c>
      <c r="H12" s="0" t="s">
        <v>22</v>
      </c>
      <c r="I12" s="0" t="s">
        <v>829</v>
      </c>
    </row>
    <row customHeight="1" ht="11.25">
      <c r="A13" s="1850" t="s">
        <v>2300</v>
      </c>
      <c r="B13" s="1850" t="s">
        <v>16</v>
      </c>
      <c r="C13" s="0" t="s">
        <v>2341</v>
      </c>
      <c r="D13" s="0" t="s">
        <v>2342</v>
      </c>
      <c r="E13" s="0" t="s">
        <v>2343</v>
      </c>
      <c r="F13" s="0" t="s">
        <v>2344</v>
      </c>
      <c r="G13" s="0" t="s">
        <v>2345</v>
      </c>
      <c r="H13" s="0" t="s">
        <v>22</v>
      </c>
      <c r="I13" s="0" t="s">
        <v>829</v>
      </c>
    </row>
    <row customHeight="1" ht="11.25">
      <c r="A14" s="1850" t="s">
        <v>2300</v>
      </c>
      <c r="B14" s="1850" t="s">
        <v>16</v>
      </c>
      <c r="C14" s="0" t="s">
        <v>2346</v>
      </c>
      <c r="D14" s="0" t="s">
        <v>2347</v>
      </c>
      <c r="E14" s="0" t="s">
        <v>2348</v>
      </c>
      <c r="F14" s="0" t="s">
        <v>2318</v>
      </c>
      <c r="G14" s="0" t="s">
        <v>2349</v>
      </c>
      <c r="H14" s="0" t="s">
        <v>22</v>
      </c>
      <c r="I14" s="0" t="s">
        <v>829</v>
      </c>
    </row>
    <row customHeight="1" ht="11.25">
      <c r="A15" s="1850" t="s">
        <v>2300</v>
      </c>
      <c r="B15" s="1850" t="s">
        <v>16</v>
      </c>
      <c r="C15" s="0" t="s">
        <v>2350</v>
      </c>
      <c r="D15" s="0" t="s">
        <v>2351</v>
      </c>
      <c r="E15" s="0" t="s">
        <v>2352</v>
      </c>
      <c r="F15" s="0" t="s">
        <v>2318</v>
      </c>
      <c r="G15" s="0" t="s">
        <v>22</v>
      </c>
      <c r="H15" s="0" t="s">
        <v>22</v>
      </c>
      <c r="I15" s="0" t="s">
        <v>829</v>
      </c>
    </row>
    <row customHeight="1" ht="11.25">
      <c r="A16" s="1850" t="s">
        <v>2300</v>
      </c>
      <c r="B16" s="1850" t="s">
        <v>16</v>
      </c>
      <c r="C16" s="0" t="s">
        <v>2353</v>
      </c>
      <c r="D16" s="0" t="s">
        <v>2354</v>
      </c>
      <c r="E16" s="0" t="s">
        <v>2355</v>
      </c>
      <c r="F16" s="0" t="s">
        <v>2356</v>
      </c>
      <c r="G16" s="0" t="s">
        <v>22</v>
      </c>
      <c r="H16" s="0" t="s">
        <v>22</v>
      </c>
      <c r="I16" s="0" t="s">
        <v>829</v>
      </c>
    </row>
    <row customHeight="1" ht="11.25">
      <c r="A17" s="1850" t="s">
        <v>2300</v>
      </c>
      <c r="B17" s="1850" t="s">
        <v>16</v>
      </c>
      <c r="C17" s="0" t="s">
        <v>2357</v>
      </c>
      <c r="D17" s="0" t="s">
        <v>2358</v>
      </c>
      <c r="E17" s="0" t="s">
        <v>2359</v>
      </c>
      <c r="F17" s="0" t="s">
        <v>2318</v>
      </c>
      <c r="G17" s="0" t="s">
        <v>2360</v>
      </c>
      <c r="H17" s="0" t="s">
        <v>2327</v>
      </c>
      <c r="I17" s="0" t="s">
        <v>829</v>
      </c>
    </row>
    <row customHeight="1" ht="11.25">
      <c r="A18" s="1850" t="s">
        <v>2300</v>
      </c>
      <c r="B18" s="1850" t="s">
        <v>16</v>
      </c>
      <c r="C18" s="0" t="s">
        <v>2361</v>
      </c>
      <c r="D18" s="0" t="s">
        <v>2362</v>
      </c>
      <c r="E18" s="0" t="s">
        <v>2363</v>
      </c>
      <c r="F18" s="0" t="s">
        <v>2318</v>
      </c>
      <c r="G18" s="0" t="s">
        <v>2364</v>
      </c>
      <c r="H18" s="0" t="s">
        <v>22</v>
      </c>
      <c r="I18" s="0" t="s">
        <v>829</v>
      </c>
    </row>
    <row customHeight="1" ht="11.25">
      <c r="A19" s="1850" t="s">
        <v>2300</v>
      </c>
      <c r="B19" s="1850" t="s">
        <v>16</v>
      </c>
      <c r="C19" s="0" t="s">
        <v>2365</v>
      </c>
      <c r="D19" s="0" t="s">
        <v>2366</v>
      </c>
      <c r="E19" s="0" t="s">
        <v>2367</v>
      </c>
      <c r="F19" s="0" t="s">
        <v>2318</v>
      </c>
      <c r="G19" s="0" t="s">
        <v>2368</v>
      </c>
      <c r="H19" s="0" t="s">
        <v>22</v>
      </c>
      <c r="I19" s="0" t="s">
        <v>829</v>
      </c>
    </row>
    <row customHeight="1" ht="11.25">
      <c r="A20" s="1850" t="s">
        <v>2300</v>
      </c>
      <c r="B20" s="1850" t="s">
        <v>16</v>
      </c>
      <c r="C20" s="0" t="s">
        <v>2369</v>
      </c>
      <c r="D20" s="0" t="s">
        <v>2370</v>
      </c>
      <c r="E20" s="0" t="s">
        <v>2371</v>
      </c>
      <c r="F20" s="0" t="s">
        <v>2344</v>
      </c>
      <c r="G20" s="0" t="s">
        <v>22</v>
      </c>
      <c r="H20" s="0" t="s">
        <v>22</v>
      </c>
      <c r="I20" s="0" t="s">
        <v>829</v>
      </c>
    </row>
    <row customHeight="1" ht="11.25">
      <c r="A21" s="1850" t="s">
        <v>2300</v>
      </c>
      <c r="B21" s="1850" t="s">
        <v>16</v>
      </c>
      <c r="C21" s="0" t="s">
        <v>2372</v>
      </c>
      <c r="D21" s="0" t="s">
        <v>2373</v>
      </c>
      <c r="E21" s="0" t="s">
        <v>2374</v>
      </c>
      <c r="F21" s="0" t="s">
        <v>2318</v>
      </c>
      <c r="G21" s="0" t="s">
        <v>2375</v>
      </c>
      <c r="H21" s="0" t="s">
        <v>22</v>
      </c>
      <c r="I21" s="0" t="s">
        <v>829</v>
      </c>
    </row>
    <row customHeight="1" ht="11.25">
      <c r="A22" s="1850" t="s">
        <v>2300</v>
      </c>
      <c r="B22" s="1850" t="s">
        <v>16</v>
      </c>
      <c r="C22" s="0" t="s">
        <v>2376</v>
      </c>
      <c r="D22" s="0" t="s">
        <v>2377</v>
      </c>
      <c r="E22" s="0" t="s">
        <v>2378</v>
      </c>
      <c r="F22" s="0" t="s">
        <v>51</v>
      </c>
      <c r="G22" s="0" t="s">
        <v>22</v>
      </c>
      <c r="H22" s="0" t="s">
        <v>22</v>
      </c>
      <c r="I22" s="0" t="s">
        <v>829</v>
      </c>
    </row>
    <row customHeight="1" ht="11.25">
      <c r="A23" s="1850" t="s">
        <v>2300</v>
      </c>
      <c r="B23" s="1850" t="s">
        <v>16</v>
      </c>
      <c r="C23" s="0" t="s">
        <v>2379</v>
      </c>
      <c r="D23" s="0" t="s">
        <v>2380</v>
      </c>
      <c r="E23" s="0" t="s">
        <v>2381</v>
      </c>
      <c r="F23" s="0" t="s">
        <v>51</v>
      </c>
      <c r="G23" s="0" t="s">
        <v>2382</v>
      </c>
      <c r="H23" s="0" t="s">
        <v>22</v>
      </c>
      <c r="I23" s="0" t="s">
        <v>829</v>
      </c>
    </row>
    <row customHeight="1" ht="11.25">
      <c r="A24" s="1850" t="s">
        <v>2300</v>
      </c>
      <c r="B24" s="1850" t="s">
        <v>16</v>
      </c>
      <c r="C24" s="0" t="s">
        <v>2383</v>
      </c>
      <c r="D24" s="0" t="s">
        <v>2384</v>
      </c>
      <c r="E24" s="0" t="s">
        <v>2385</v>
      </c>
      <c r="F24" s="0" t="s">
        <v>2304</v>
      </c>
      <c r="G24" s="0" t="s">
        <v>2386</v>
      </c>
      <c r="H24" s="0" t="s">
        <v>22</v>
      </c>
      <c r="I24" s="0" t="s">
        <v>829</v>
      </c>
    </row>
    <row customHeight="1" ht="11.25">
      <c r="A25" s="1850" t="s">
        <v>2300</v>
      </c>
      <c r="B25" s="1850" t="s">
        <v>16</v>
      </c>
      <c r="C25" s="0" t="s">
        <v>2387</v>
      </c>
      <c r="D25" s="0" t="s">
        <v>2388</v>
      </c>
      <c r="E25" s="0" t="s">
        <v>2389</v>
      </c>
      <c r="F25" s="0" t="s">
        <v>2318</v>
      </c>
      <c r="G25" s="0" t="s">
        <v>2390</v>
      </c>
      <c r="H25" s="0" t="s">
        <v>22</v>
      </c>
      <c r="I25" s="0" t="s">
        <v>829</v>
      </c>
    </row>
    <row customHeight="1" ht="11.25">
      <c r="A26" s="1850" t="s">
        <v>2300</v>
      </c>
      <c r="B26" s="1850" t="s">
        <v>16</v>
      </c>
      <c r="C26" s="0" t="s">
        <v>2391</v>
      </c>
      <c r="D26" s="0" t="s">
        <v>2392</v>
      </c>
      <c r="E26" s="0" t="s">
        <v>2393</v>
      </c>
      <c r="F26" s="0" t="s">
        <v>51</v>
      </c>
      <c r="G26" s="0" t="s">
        <v>2394</v>
      </c>
      <c r="H26" s="0" t="s">
        <v>22</v>
      </c>
      <c r="I26" s="0" t="s">
        <v>829</v>
      </c>
    </row>
    <row customHeight="1" ht="11.25">
      <c r="A27" s="1850" t="s">
        <v>2300</v>
      </c>
      <c r="B27" s="1850" t="s">
        <v>16</v>
      </c>
      <c r="C27" s="0" t="s">
        <v>2395</v>
      </c>
      <c r="D27" s="0" t="s">
        <v>2396</v>
      </c>
      <c r="E27" s="0" t="s">
        <v>2397</v>
      </c>
      <c r="F27" s="0" t="s">
        <v>51</v>
      </c>
      <c r="G27" s="0" t="s">
        <v>22</v>
      </c>
      <c r="H27" s="0" t="s">
        <v>22</v>
      </c>
      <c r="I27" s="0" t="s">
        <v>829</v>
      </c>
    </row>
    <row customHeight="1" ht="11.25">
      <c r="A28" s="1850" t="s">
        <v>2300</v>
      </c>
      <c r="B28" s="1850" t="s">
        <v>16</v>
      </c>
      <c r="C28" s="0" t="s">
        <v>2398</v>
      </c>
      <c r="D28" s="0" t="s">
        <v>2399</v>
      </c>
      <c r="E28" s="0" t="s">
        <v>2400</v>
      </c>
      <c r="F28" s="0" t="s">
        <v>2401</v>
      </c>
      <c r="G28" s="0" t="s">
        <v>2402</v>
      </c>
      <c r="H28" s="0" t="s">
        <v>22</v>
      </c>
      <c r="I28" s="0" t="s">
        <v>829</v>
      </c>
    </row>
    <row customHeight="1" ht="11.25">
      <c r="A29" s="1850" t="s">
        <v>2300</v>
      </c>
      <c r="B29" s="1850" t="s">
        <v>16</v>
      </c>
      <c r="C29" s="0" t="s">
        <v>2403</v>
      </c>
      <c r="D29" s="0" t="s">
        <v>2404</v>
      </c>
      <c r="E29" s="0" t="s">
        <v>2405</v>
      </c>
      <c r="F29" s="0" t="s">
        <v>51</v>
      </c>
      <c r="G29" s="0" t="s">
        <v>22</v>
      </c>
      <c r="H29" s="0" t="s">
        <v>22</v>
      </c>
      <c r="I29" s="0" t="s">
        <v>829</v>
      </c>
    </row>
    <row customHeight="1" ht="11.25">
      <c r="A30" s="1850" t="s">
        <v>2300</v>
      </c>
      <c r="B30" s="1850" t="s">
        <v>16</v>
      </c>
      <c r="C30" s="0" t="s">
        <v>2406</v>
      </c>
      <c r="D30" s="0" t="s">
        <v>2407</v>
      </c>
      <c r="E30" s="0" t="s">
        <v>2408</v>
      </c>
      <c r="F30" s="0" t="s">
        <v>2318</v>
      </c>
      <c r="G30" s="0" t="s">
        <v>2409</v>
      </c>
      <c r="H30" s="0" t="s">
        <v>22</v>
      </c>
      <c r="I30" s="0" t="s">
        <v>829</v>
      </c>
    </row>
    <row customHeight="1" ht="11.25">
      <c r="A31" s="1850" t="s">
        <v>2300</v>
      </c>
      <c r="B31" s="1850" t="s">
        <v>16</v>
      </c>
      <c r="C31" s="0" t="s">
        <v>2410</v>
      </c>
      <c r="D31" s="0" t="s">
        <v>2411</v>
      </c>
      <c r="E31" s="0" t="s">
        <v>2412</v>
      </c>
      <c r="F31" s="0" t="s">
        <v>51</v>
      </c>
      <c r="G31" s="0" t="s">
        <v>22</v>
      </c>
      <c r="H31" s="0" t="s">
        <v>22</v>
      </c>
      <c r="I31" s="0" t="s">
        <v>829</v>
      </c>
    </row>
    <row customHeight="1" ht="11.25">
      <c r="A32" s="1850" t="s">
        <v>2300</v>
      </c>
      <c r="B32" s="1850" t="s">
        <v>16</v>
      </c>
      <c r="C32" s="0" t="s">
        <v>2413</v>
      </c>
      <c r="D32" s="0" t="s">
        <v>2414</v>
      </c>
      <c r="E32" s="0" t="s">
        <v>2415</v>
      </c>
      <c r="F32" s="0" t="s">
        <v>51</v>
      </c>
      <c r="G32" s="0" t="s">
        <v>2416</v>
      </c>
      <c r="H32" s="0" t="s">
        <v>22</v>
      </c>
      <c r="I32" s="0" t="s">
        <v>829</v>
      </c>
    </row>
    <row customHeight="1" ht="11.25">
      <c r="A33" s="1850" t="s">
        <v>2300</v>
      </c>
      <c r="B33" s="1850" t="s">
        <v>16</v>
      </c>
      <c r="C33" s="0" t="s">
        <v>2417</v>
      </c>
      <c r="D33" s="0" t="s">
        <v>2418</v>
      </c>
      <c r="E33" s="0" t="s">
        <v>2419</v>
      </c>
      <c r="F33" s="0" t="s">
        <v>2318</v>
      </c>
      <c r="G33" s="0" t="s">
        <v>2420</v>
      </c>
      <c r="H33" s="0" t="s">
        <v>22</v>
      </c>
      <c r="I33" s="0" t="s">
        <v>829</v>
      </c>
    </row>
    <row customHeight="1" ht="11.25">
      <c r="A34" s="1850" t="s">
        <v>2300</v>
      </c>
      <c r="B34" s="1850" t="s">
        <v>16</v>
      </c>
      <c r="C34" s="0" t="s">
        <v>2421</v>
      </c>
      <c r="D34" s="0" t="s">
        <v>2422</v>
      </c>
      <c r="E34" s="0" t="s">
        <v>2423</v>
      </c>
      <c r="F34" s="0" t="s">
        <v>2318</v>
      </c>
      <c r="G34" s="0" t="s">
        <v>2424</v>
      </c>
      <c r="H34" s="0" t="s">
        <v>22</v>
      </c>
      <c r="I34" s="0" t="s">
        <v>829</v>
      </c>
    </row>
    <row customHeight="1" ht="11.25">
      <c r="A35" s="1850" t="s">
        <v>2300</v>
      </c>
      <c r="B35" s="1850" t="s">
        <v>16</v>
      </c>
      <c r="C35" s="0" t="s">
        <v>2425</v>
      </c>
      <c r="D35" s="0" t="s">
        <v>2426</v>
      </c>
      <c r="E35" s="0" t="s">
        <v>2427</v>
      </c>
      <c r="F35" s="0" t="s">
        <v>51</v>
      </c>
      <c r="G35" s="0" t="s">
        <v>2428</v>
      </c>
      <c r="H35" s="0" t="s">
        <v>22</v>
      </c>
      <c r="I35" s="0" t="s">
        <v>829</v>
      </c>
    </row>
    <row customHeight="1" ht="11.25">
      <c r="A36" s="1850" t="s">
        <v>2300</v>
      </c>
      <c r="B36" s="1850" t="s">
        <v>16</v>
      </c>
      <c r="C36" s="0" t="s">
        <v>2429</v>
      </c>
      <c r="D36" s="0" t="s">
        <v>2430</v>
      </c>
      <c r="E36" s="0" t="s">
        <v>2431</v>
      </c>
      <c r="F36" s="0" t="s">
        <v>51</v>
      </c>
      <c r="G36" s="0" t="s">
        <v>22</v>
      </c>
      <c r="H36" s="0" t="s">
        <v>22</v>
      </c>
      <c r="I36" s="0" t="s">
        <v>829</v>
      </c>
    </row>
    <row customHeight="1" ht="11.25">
      <c r="A37" s="1850" t="s">
        <v>2300</v>
      </c>
      <c r="B37" s="1850" t="s">
        <v>16</v>
      </c>
      <c r="C37" s="0" t="s">
        <v>2432</v>
      </c>
      <c r="D37" s="0" t="s">
        <v>2433</v>
      </c>
      <c r="E37" s="0" t="s">
        <v>2434</v>
      </c>
      <c r="F37" s="0" t="s">
        <v>51</v>
      </c>
      <c r="G37" s="0" t="s">
        <v>2435</v>
      </c>
      <c r="H37" s="0" t="s">
        <v>22</v>
      </c>
      <c r="I37" s="0" t="s">
        <v>829</v>
      </c>
    </row>
    <row customHeight="1" ht="11.25">
      <c r="A38" s="1850" t="s">
        <v>2300</v>
      </c>
      <c r="B38" s="1850" t="s">
        <v>16</v>
      </c>
      <c r="C38" s="0" t="s">
        <v>2436</v>
      </c>
      <c r="D38" s="0" t="s">
        <v>2437</v>
      </c>
      <c r="E38" s="0" t="s">
        <v>2438</v>
      </c>
      <c r="F38" s="0" t="s">
        <v>51</v>
      </c>
      <c r="G38" s="0" t="s">
        <v>22</v>
      </c>
      <c r="H38" s="0" t="s">
        <v>22</v>
      </c>
      <c r="I38" s="0" t="s">
        <v>829</v>
      </c>
    </row>
    <row customHeight="1" ht="11.25">
      <c r="A39" s="1850" t="s">
        <v>2300</v>
      </c>
      <c r="B39" s="1850" t="s">
        <v>16</v>
      </c>
      <c r="C39" s="0" t="s">
        <v>2309</v>
      </c>
      <c r="D39" s="0" t="s">
        <v>2310</v>
      </c>
      <c r="E39" s="0" t="s">
        <v>2311</v>
      </c>
      <c r="F39" s="0" t="s">
        <v>51</v>
      </c>
      <c r="G39" s="0" t="s">
        <v>2312</v>
      </c>
      <c r="H39" s="0" t="s">
        <v>22</v>
      </c>
      <c r="I39" s="0" t="s">
        <v>916</v>
      </c>
    </row>
    <row customHeight="1" ht="11.25">
      <c r="A40" s="1850" t="s">
        <v>2300</v>
      </c>
      <c r="B40" s="1850" t="s">
        <v>16</v>
      </c>
      <c r="C40" s="0" t="s">
        <v>22</v>
      </c>
      <c r="D40" s="0" t="s">
        <v>2313</v>
      </c>
      <c r="E40" s="0" t="s">
        <v>2314</v>
      </c>
      <c r="F40" s="0" t="s">
        <v>51</v>
      </c>
      <c r="G40" s="0" t="s">
        <v>22</v>
      </c>
      <c r="H40" s="0" t="s">
        <v>22</v>
      </c>
      <c r="I40" s="0" t="s">
        <v>916</v>
      </c>
    </row>
    <row customHeight="1" ht="11.25">
      <c r="A41" s="1850" t="s">
        <v>2300</v>
      </c>
      <c r="B41" s="1850" t="s">
        <v>16</v>
      </c>
      <c r="C41" s="0" t="s">
        <v>22</v>
      </c>
      <c r="D41" s="0" t="s">
        <v>2328</v>
      </c>
      <c r="E41" s="0" t="s">
        <v>2329</v>
      </c>
      <c r="F41" s="0" t="s">
        <v>51</v>
      </c>
      <c r="G41" s="0" t="s">
        <v>22</v>
      </c>
      <c r="H41" s="0" t="s">
        <v>22</v>
      </c>
      <c r="I41" s="0" t="s">
        <v>916</v>
      </c>
    </row>
    <row customHeight="1" ht="11.25">
      <c r="A42" s="1850" t="s">
        <v>2300</v>
      </c>
      <c r="B42" s="1850" t="s">
        <v>16</v>
      </c>
      <c r="C42" s="0" t="s">
        <v>2376</v>
      </c>
      <c r="D42" s="0" t="s">
        <v>2377</v>
      </c>
      <c r="E42" s="0" t="s">
        <v>2378</v>
      </c>
      <c r="F42" s="0" t="s">
        <v>51</v>
      </c>
      <c r="G42" s="0" t="s">
        <v>22</v>
      </c>
      <c r="H42" s="0" t="s">
        <v>22</v>
      </c>
      <c r="I42" s="0" t="s">
        <v>916</v>
      </c>
    </row>
    <row customHeight="1" ht="11.25">
      <c r="A43" s="1850" t="s">
        <v>2300</v>
      </c>
      <c r="B43" s="1850" t="s">
        <v>16</v>
      </c>
      <c r="C43" s="0" t="s">
        <v>2387</v>
      </c>
      <c r="D43" s="0" t="s">
        <v>2388</v>
      </c>
      <c r="E43" s="0" t="s">
        <v>2389</v>
      </c>
      <c r="F43" s="0" t="s">
        <v>2318</v>
      </c>
      <c r="G43" s="0" t="s">
        <v>2390</v>
      </c>
      <c r="H43" s="0" t="s">
        <v>22</v>
      </c>
      <c r="I43" s="0" t="s">
        <v>916</v>
      </c>
    </row>
    <row customHeight="1" ht="11.25">
      <c r="A44" s="1850" t="s">
        <v>2300</v>
      </c>
      <c r="B44" s="1850" t="s">
        <v>16</v>
      </c>
      <c r="C44" s="0" t="s">
        <v>2403</v>
      </c>
      <c r="D44" s="0" t="s">
        <v>2404</v>
      </c>
      <c r="E44" s="0" t="s">
        <v>2405</v>
      </c>
      <c r="F44" s="0" t="s">
        <v>51</v>
      </c>
      <c r="G44" s="0" t="s">
        <v>22</v>
      </c>
      <c r="H44" s="0" t="s">
        <v>22</v>
      </c>
      <c r="I44" s="0" t="s">
        <v>916</v>
      </c>
    </row>
    <row customHeight="1" ht="11.25">
      <c r="A45" s="1850" t="s">
        <v>2300</v>
      </c>
      <c r="B45" s="1850" t="s">
        <v>16</v>
      </c>
      <c r="C45" s="0" t="s">
        <v>2410</v>
      </c>
      <c r="D45" s="0" t="s">
        <v>2411</v>
      </c>
      <c r="E45" s="0" t="s">
        <v>2412</v>
      </c>
      <c r="F45" s="0" t="s">
        <v>51</v>
      </c>
      <c r="G45" s="0" t="s">
        <v>22</v>
      </c>
      <c r="H45" s="0" t="s">
        <v>22</v>
      </c>
      <c r="I45" s="0" t="s">
        <v>916</v>
      </c>
    </row>
    <row customHeight="1" ht="11.25">
      <c r="A46" s="1850" t="s">
        <v>2300</v>
      </c>
      <c r="B46" s="1850" t="s">
        <v>16</v>
      </c>
      <c r="C46" s="0" t="s">
        <v>2417</v>
      </c>
      <c r="D46" s="0" t="s">
        <v>2418</v>
      </c>
      <c r="E46" s="0" t="s">
        <v>2419</v>
      </c>
      <c r="F46" s="0" t="s">
        <v>2318</v>
      </c>
      <c r="G46" s="0" t="s">
        <v>2420</v>
      </c>
      <c r="H46" s="0" t="s">
        <v>22</v>
      </c>
      <c r="I46" s="0" t="s">
        <v>916</v>
      </c>
    </row>
    <row customHeight="1" ht="11.25">
      <c r="A47" s="1850" t="s">
        <v>2300</v>
      </c>
      <c r="B47" s="1850" t="s">
        <v>16</v>
      </c>
      <c r="C47" s="0" t="s">
        <v>2301</v>
      </c>
      <c r="D47" s="0" t="s">
        <v>2302</v>
      </c>
      <c r="E47" s="0" t="s">
        <v>2303</v>
      </c>
      <c r="F47" s="0" t="s">
        <v>2304</v>
      </c>
      <c r="G47" s="0" t="s">
        <v>22</v>
      </c>
      <c r="H47" s="0" t="s">
        <v>22</v>
      </c>
      <c r="I47" s="0" t="s">
        <v>875</v>
      </c>
    </row>
    <row customHeight="1" ht="11.25">
      <c r="A48" s="1850" t="s">
        <v>2300</v>
      </c>
      <c r="B48" s="1850" t="s">
        <v>16</v>
      </c>
      <c r="C48" s="0" t="s">
        <v>13</v>
      </c>
      <c r="D48" s="0" t="s">
        <v>46</v>
      </c>
      <c r="E48" s="0" t="s">
        <v>49</v>
      </c>
      <c r="F48" s="0" t="s">
        <v>51</v>
      </c>
      <c r="G48" s="0" t="s">
        <v>22</v>
      </c>
      <c r="H48" s="0" t="s">
        <v>22</v>
      </c>
      <c r="I48" s="0" t="s">
        <v>875</v>
      </c>
    </row>
    <row customHeight="1" ht="11.25">
      <c r="A49" s="1850" t="s">
        <v>2300</v>
      </c>
      <c r="B49" s="1850" t="s">
        <v>16</v>
      </c>
      <c r="C49" s="0" t="s">
        <v>2305</v>
      </c>
      <c r="D49" s="0" t="s">
        <v>2306</v>
      </c>
      <c r="E49" s="0" t="s">
        <v>2307</v>
      </c>
      <c r="F49" s="0" t="s">
        <v>2308</v>
      </c>
      <c r="G49" s="0" t="s">
        <v>22</v>
      </c>
      <c r="H49" s="0" t="s">
        <v>22</v>
      </c>
      <c r="I49" s="0" t="s">
        <v>875</v>
      </c>
    </row>
    <row customHeight="1" ht="11.25">
      <c r="A50" s="1850" t="s">
        <v>2300</v>
      </c>
      <c r="B50" s="1850" t="s">
        <v>16</v>
      </c>
      <c r="C50" s="0" t="s">
        <v>22</v>
      </c>
      <c r="D50" s="0" t="s">
        <v>2313</v>
      </c>
      <c r="E50" s="0" t="s">
        <v>2314</v>
      </c>
      <c r="F50" s="0" t="s">
        <v>51</v>
      </c>
      <c r="G50" s="0" t="s">
        <v>22</v>
      </c>
      <c r="H50" s="0" t="s">
        <v>22</v>
      </c>
      <c r="I50" s="0" t="s">
        <v>875</v>
      </c>
    </row>
    <row customHeight="1" ht="11.25">
      <c r="A51" s="1850" t="s">
        <v>2300</v>
      </c>
      <c r="B51" s="1850" t="s">
        <v>16</v>
      </c>
      <c r="C51" s="0" t="s">
        <v>2315</v>
      </c>
      <c r="D51" s="0" t="s">
        <v>2316</v>
      </c>
      <c r="E51" s="0" t="s">
        <v>2317</v>
      </c>
      <c r="F51" s="0" t="s">
        <v>2318</v>
      </c>
      <c r="G51" s="0" t="s">
        <v>2319</v>
      </c>
      <c r="H51" s="0" t="s">
        <v>22</v>
      </c>
      <c r="I51" s="0" t="s">
        <v>875</v>
      </c>
    </row>
    <row customHeight="1" ht="11.25">
      <c r="A52" s="1850" t="s">
        <v>2300</v>
      </c>
      <c r="B52" s="1850" t="s">
        <v>16</v>
      </c>
      <c r="C52" s="0" t="s">
        <v>2320</v>
      </c>
      <c r="D52" s="0" t="s">
        <v>2321</v>
      </c>
      <c r="E52" s="0" t="s">
        <v>2322</v>
      </c>
      <c r="F52" s="0" t="s">
        <v>51</v>
      </c>
      <c r="G52" s="0" t="s">
        <v>2323</v>
      </c>
      <c r="H52" s="0" t="s">
        <v>22</v>
      </c>
      <c r="I52" s="0" t="s">
        <v>875</v>
      </c>
    </row>
    <row customHeight="1" ht="11.25">
      <c r="A53" s="1850" t="s">
        <v>2300</v>
      </c>
      <c r="B53" s="1850" t="s">
        <v>16</v>
      </c>
      <c r="C53" s="0" t="s">
        <v>2324</v>
      </c>
      <c r="D53" s="0" t="s">
        <v>2325</v>
      </c>
      <c r="E53" s="0" t="s">
        <v>2326</v>
      </c>
      <c r="F53" s="0" t="s">
        <v>2318</v>
      </c>
      <c r="G53" s="0" t="s">
        <v>2327</v>
      </c>
      <c r="H53" s="0" t="s">
        <v>22</v>
      </c>
      <c r="I53" s="0" t="s">
        <v>875</v>
      </c>
    </row>
    <row customHeight="1" ht="11.25">
      <c r="A54" s="1850" t="s">
        <v>2300</v>
      </c>
      <c r="B54" s="1850" t="s">
        <v>16</v>
      </c>
      <c r="C54" s="0" t="s">
        <v>22</v>
      </c>
      <c r="D54" s="0" t="s">
        <v>2328</v>
      </c>
      <c r="E54" s="0" t="s">
        <v>2329</v>
      </c>
      <c r="F54" s="0" t="s">
        <v>51</v>
      </c>
      <c r="G54" s="0" t="s">
        <v>22</v>
      </c>
      <c r="H54" s="0" t="s">
        <v>22</v>
      </c>
      <c r="I54" s="0" t="s">
        <v>875</v>
      </c>
    </row>
    <row customHeight="1" ht="11.25">
      <c r="A55" s="1850" t="s">
        <v>2300</v>
      </c>
      <c r="B55" s="1850" t="s">
        <v>16</v>
      </c>
      <c r="C55" s="0" t="s">
        <v>2439</v>
      </c>
      <c r="D55" s="0" t="s">
        <v>2440</v>
      </c>
      <c r="E55" s="0" t="s">
        <v>2441</v>
      </c>
      <c r="F55" s="0" t="s">
        <v>2318</v>
      </c>
      <c r="G55" s="0" t="s">
        <v>2442</v>
      </c>
      <c r="H55" s="0" t="s">
        <v>22</v>
      </c>
      <c r="I55" s="0" t="s">
        <v>875</v>
      </c>
    </row>
    <row customHeight="1" ht="11.25">
      <c r="A56" s="1850" t="s">
        <v>2300</v>
      </c>
      <c r="B56" s="1850" t="s">
        <v>16</v>
      </c>
      <c r="C56" s="0" t="s">
        <v>2443</v>
      </c>
      <c r="D56" s="0" t="s">
        <v>2444</v>
      </c>
      <c r="E56" s="0" t="s">
        <v>2445</v>
      </c>
      <c r="F56" s="0" t="s">
        <v>2344</v>
      </c>
      <c r="G56" s="0" t="s">
        <v>2446</v>
      </c>
      <c r="H56" s="0" t="s">
        <v>2447</v>
      </c>
      <c r="I56" s="0" t="s">
        <v>875</v>
      </c>
    </row>
    <row customHeight="1" ht="11.25">
      <c r="A57" s="1850" t="s">
        <v>2300</v>
      </c>
      <c r="B57" s="1850" t="s">
        <v>16</v>
      </c>
      <c r="C57" s="0" t="s">
        <v>2330</v>
      </c>
      <c r="D57" s="0" t="s">
        <v>2331</v>
      </c>
      <c r="E57" s="0" t="s">
        <v>2332</v>
      </c>
      <c r="F57" s="0" t="s">
        <v>2318</v>
      </c>
      <c r="G57" s="0" t="s">
        <v>22</v>
      </c>
      <c r="H57" s="0" t="s">
        <v>22</v>
      </c>
      <c r="I57" s="0" t="s">
        <v>875</v>
      </c>
    </row>
    <row customHeight="1" ht="11.25">
      <c r="A58" s="1850" t="s">
        <v>2300</v>
      </c>
      <c r="B58" s="1850" t="s">
        <v>16</v>
      </c>
      <c r="C58" s="0" t="s">
        <v>2341</v>
      </c>
      <c r="D58" s="0" t="s">
        <v>2342</v>
      </c>
      <c r="E58" s="0" t="s">
        <v>2343</v>
      </c>
      <c r="F58" s="0" t="s">
        <v>2344</v>
      </c>
      <c r="G58" s="0" t="s">
        <v>2345</v>
      </c>
      <c r="H58" s="0" t="s">
        <v>22</v>
      </c>
      <c r="I58" s="0" t="s">
        <v>875</v>
      </c>
    </row>
    <row customHeight="1" ht="11.25">
      <c r="A59" s="1850" t="s">
        <v>2300</v>
      </c>
      <c r="B59" s="1850" t="s">
        <v>16</v>
      </c>
      <c r="C59" s="0" t="s">
        <v>2350</v>
      </c>
      <c r="D59" s="0" t="s">
        <v>2351</v>
      </c>
      <c r="E59" s="0" t="s">
        <v>2352</v>
      </c>
      <c r="F59" s="0" t="s">
        <v>2318</v>
      </c>
      <c r="G59" s="0" t="s">
        <v>22</v>
      </c>
      <c r="H59" s="0" t="s">
        <v>22</v>
      </c>
      <c r="I59" s="0" t="s">
        <v>875</v>
      </c>
    </row>
    <row customHeight="1" ht="11.25">
      <c r="A60" s="1850" t="s">
        <v>2300</v>
      </c>
      <c r="B60" s="1850" t="s">
        <v>16</v>
      </c>
      <c r="C60" s="0" t="s">
        <v>2353</v>
      </c>
      <c r="D60" s="0" t="s">
        <v>2354</v>
      </c>
      <c r="E60" s="0" t="s">
        <v>2355</v>
      </c>
      <c r="F60" s="0" t="s">
        <v>2356</v>
      </c>
      <c r="G60" s="0" t="s">
        <v>22</v>
      </c>
      <c r="H60" s="0" t="s">
        <v>22</v>
      </c>
      <c r="I60" s="0" t="s">
        <v>875</v>
      </c>
    </row>
    <row customHeight="1" ht="11.25">
      <c r="A61" s="1850" t="s">
        <v>2300</v>
      </c>
      <c r="B61" s="1850" t="s">
        <v>16</v>
      </c>
      <c r="C61" s="0" t="s">
        <v>2357</v>
      </c>
      <c r="D61" s="0" t="s">
        <v>2358</v>
      </c>
      <c r="E61" s="0" t="s">
        <v>2359</v>
      </c>
      <c r="F61" s="0" t="s">
        <v>2318</v>
      </c>
      <c r="G61" s="0" t="s">
        <v>2360</v>
      </c>
      <c r="H61" s="0" t="s">
        <v>2327</v>
      </c>
      <c r="I61" s="0" t="s">
        <v>875</v>
      </c>
    </row>
    <row customHeight="1" ht="11.25">
      <c r="A62" s="1850" t="s">
        <v>2300</v>
      </c>
      <c r="B62" s="1850" t="s">
        <v>16</v>
      </c>
      <c r="C62" s="0" t="s">
        <v>2361</v>
      </c>
      <c r="D62" s="0" t="s">
        <v>2362</v>
      </c>
      <c r="E62" s="0" t="s">
        <v>2363</v>
      </c>
      <c r="F62" s="0" t="s">
        <v>2318</v>
      </c>
      <c r="G62" s="0" t="s">
        <v>2364</v>
      </c>
      <c r="H62" s="0" t="s">
        <v>22</v>
      </c>
      <c r="I62" s="0" t="s">
        <v>875</v>
      </c>
    </row>
    <row customHeight="1" ht="11.25">
      <c r="A63" s="1850" t="s">
        <v>2300</v>
      </c>
      <c r="B63" s="1850" t="s">
        <v>16</v>
      </c>
      <c r="C63" s="0" t="s">
        <v>2365</v>
      </c>
      <c r="D63" s="0" t="s">
        <v>2366</v>
      </c>
      <c r="E63" s="0" t="s">
        <v>2367</v>
      </c>
      <c r="F63" s="0" t="s">
        <v>2318</v>
      </c>
      <c r="G63" s="0" t="s">
        <v>2368</v>
      </c>
      <c r="H63" s="0" t="s">
        <v>22</v>
      </c>
      <c r="I63" s="0" t="s">
        <v>875</v>
      </c>
    </row>
    <row customHeight="1" ht="11.25">
      <c r="A64" s="1850" t="s">
        <v>2300</v>
      </c>
      <c r="B64" s="1850" t="s">
        <v>16</v>
      </c>
      <c r="C64" s="0" t="s">
        <v>2369</v>
      </c>
      <c r="D64" s="0" t="s">
        <v>2370</v>
      </c>
      <c r="E64" s="0" t="s">
        <v>2371</v>
      </c>
      <c r="F64" s="0" t="s">
        <v>2344</v>
      </c>
      <c r="G64" s="0" t="s">
        <v>22</v>
      </c>
      <c r="H64" s="0" t="s">
        <v>22</v>
      </c>
      <c r="I64" s="0" t="s">
        <v>875</v>
      </c>
    </row>
    <row customHeight="1" ht="11.25">
      <c r="A65" s="1850" t="s">
        <v>2300</v>
      </c>
      <c r="B65" s="1850" t="s">
        <v>16</v>
      </c>
      <c r="C65" s="0" t="s">
        <v>2379</v>
      </c>
      <c r="D65" s="0" t="s">
        <v>2380</v>
      </c>
      <c r="E65" s="0" t="s">
        <v>2381</v>
      </c>
      <c r="F65" s="0" t="s">
        <v>51</v>
      </c>
      <c r="G65" s="0" t="s">
        <v>2382</v>
      </c>
      <c r="H65" s="0" t="s">
        <v>22</v>
      </c>
      <c r="I65" s="0" t="s">
        <v>875</v>
      </c>
    </row>
    <row customHeight="1" ht="11.25">
      <c r="A66" s="1850" t="s">
        <v>2300</v>
      </c>
      <c r="B66" s="1850" t="s">
        <v>16</v>
      </c>
      <c r="C66" s="0" t="s">
        <v>2383</v>
      </c>
      <c r="D66" s="0" t="s">
        <v>2384</v>
      </c>
      <c r="E66" s="0" t="s">
        <v>2385</v>
      </c>
      <c r="F66" s="0" t="s">
        <v>2304</v>
      </c>
      <c r="G66" s="0" t="s">
        <v>2386</v>
      </c>
      <c r="H66" s="0" t="s">
        <v>22</v>
      </c>
      <c r="I66" s="0" t="s">
        <v>875</v>
      </c>
    </row>
    <row customHeight="1" ht="11.25">
      <c r="A67" s="1850" t="s">
        <v>2300</v>
      </c>
      <c r="B67" s="1850" t="s">
        <v>16</v>
      </c>
      <c r="C67" s="0" t="s">
        <v>2391</v>
      </c>
      <c r="D67" s="0" t="s">
        <v>2392</v>
      </c>
      <c r="E67" s="0" t="s">
        <v>2393</v>
      </c>
      <c r="F67" s="0" t="s">
        <v>51</v>
      </c>
      <c r="G67" s="0" t="s">
        <v>2394</v>
      </c>
      <c r="H67" s="0" t="s">
        <v>22</v>
      </c>
      <c r="I67" s="0" t="s">
        <v>875</v>
      </c>
    </row>
    <row customHeight="1" ht="11.25">
      <c r="A68" s="1850" t="s">
        <v>2300</v>
      </c>
      <c r="B68" s="1850" t="s">
        <v>16</v>
      </c>
      <c r="C68" s="0" t="s">
        <v>2395</v>
      </c>
      <c r="D68" s="0" t="s">
        <v>2396</v>
      </c>
      <c r="E68" s="0" t="s">
        <v>2397</v>
      </c>
      <c r="F68" s="0" t="s">
        <v>51</v>
      </c>
      <c r="G68" s="0" t="s">
        <v>22</v>
      </c>
      <c r="H68" s="0" t="s">
        <v>22</v>
      </c>
      <c r="I68" s="0" t="s">
        <v>875</v>
      </c>
    </row>
    <row customHeight="1" ht="11.25">
      <c r="A69" s="1850" t="s">
        <v>2300</v>
      </c>
      <c r="B69" s="1850" t="s">
        <v>16</v>
      </c>
      <c r="C69" s="0" t="s">
        <v>2448</v>
      </c>
      <c r="D69" s="0" t="s">
        <v>2449</v>
      </c>
      <c r="E69" s="0" t="s">
        <v>2450</v>
      </c>
      <c r="F69" s="0" t="s">
        <v>2451</v>
      </c>
      <c r="G69" s="0" t="s">
        <v>2452</v>
      </c>
      <c r="H69" s="0" t="s">
        <v>2453</v>
      </c>
      <c r="I69" s="0" t="s">
        <v>875</v>
      </c>
    </row>
    <row customHeight="1" ht="11.25">
      <c r="A70" s="1850" t="s">
        <v>2300</v>
      </c>
      <c r="B70" s="1850" t="s">
        <v>16</v>
      </c>
      <c r="C70" s="0" t="s">
        <v>2454</v>
      </c>
      <c r="D70" s="0" t="s">
        <v>2455</v>
      </c>
      <c r="E70" s="0" t="s">
        <v>2456</v>
      </c>
      <c r="F70" s="0" t="s">
        <v>2451</v>
      </c>
      <c r="G70" s="0" t="s">
        <v>2457</v>
      </c>
      <c r="H70" s="0" t="s">
        <v>22</v>
      </c>
      <c r="I70" s="0" t="s">
        <v>875</v>
      </c>
    </row>
    <row customHeight="1" ht="11.25">
      <c r="A71" s="1850" t="s">
        <v>2300</v>
      </c>
      <c r="B71" s="1850" t="s">
        <v>16</v>
      </c>
      <c r="C71" s="0" t="s">
        <v>2458</v>
      </c>
      <c r="D71" s="0" t="s">
        <v>2459</v>
      </c>
      <c r="E71" s="0" t="s">
        <v>2460</v>
      </c>
      <c r="F71" s="0" t="s">
        <v>2461</v>
      </c>
      <c r="G71" s="0" t="s">
        <v>22</v>
      </c>
      <c r="H71" s="0" t="s">
        <v>2462</v>
      </c>
      <c r="I71" s="0" t="s">
        <v>875</v>
      </c>
    </row>
    <row customHeight="1" ht="11.25">
      <c r="A72" s="1850" t="s">
        <v>2300</v>
      </c>
      <c r="B72" s="1850" t="s">
        <v>16</v>
      </c>
      <c r="C72" s="0" t="s">
        <v>2406</v>
      </c>
      <c r="D72" s="0" t="s">
        <v>2407</v>
      </c>
      <c r="E72" s="0" t="s">
        <v>2408</v>
      </c>
      <c r="F72" s="0" t="s">
        <v>2318</v>
      </c>
      <c r="G72" s="0" t="s">
        <v>2409</v>
      </c>
      <c r="H72" s="0" t="s">
        <v>22</v>
      </c>
      <c r="I72" s="0" t="s">
        <v>875</v>
      </c>
    </row>
    <row customHeight="1" ht="11.25">
      <c r="A73" s="1850" t="s">
        <v>2300</v>
      </c>
      <c r="B73" s="1850" t="s">
        <v>16</v>
      </c>
      <c r="C73" s="0" t="s">
        <v>2410</v>
      </c>
      <c r="D73" s="0" t="s">
        <v>2411</v>
      </c>
      <c r="E73" s="0" t="s">
        <v>2412</v>
      </c>
      <c r="F73" s="0" t="s">
        <v>51</v>
      </c>
      <c r="G73" s="0" t="s">
        <v>22</v>
      </c>
      <c r="H73" s="0" t="s">
        <v>22</v>
      </c>
      <c r="I73" s="0" t="s">
        <v>875</v>
      </c>
    </row>
    <row customHeight="1" ht="11.25">
      <c r="A74" s="1850" t="s">
        <v>2300</v>
      </c>
      <c r="B74" s="1850" t="s">
        <v>16</v>
      </c>
      <c r="C74" s="0" t="s">
        <v>2463</v>
      </c>
      <c r="D74" s="0" t="s">
        <v>2464</v>
      </c>
      <c r="E74" s="0" t="s">
        <v>2465</v>
      </c>
      <c r="F74" s="0" t="s">
        <v>2466</v>
      </c>
      <c r="G74" s="0" t="s">
        <v>2467</v>
      </c>
      <c r="H74" s="0" t="s">
        <v>22</v>
      </c>
      <c r="I74" s="0" t="s">
        <v>875</v>
      </c>
    </row>
    <row customHeight="1" ht="11.25">
      <c r="A75" s="1850" t="s">
        <v>2300</v>
      </c>
      <c r="B75" s="1850" t="s">
        <v>16</v>
      </c>
      <c r="C75" s="0" t="s">
        <v>2468</v>
      </c>
      <c r="D75" s="0" t="s">
        <v>2469</v>
      </c>
      <c r="E75" s="0" t="s">
        <v>2470</v>
      </c>
      <c r="F75" s="0" t="s">
        <v>51</v>
      </c>
      <c r="G75" s="0" t="s">
        <v>2471</v>
      </c>
      <c r="H75" s="0" t="s">
        <v>22</v>
      </c>
      <c r="I75" s="0" t="s">
        <v>875</v>
      </c>
    </row>
    <row customHeight="1" ht="11.25">
      <c r="A76" s="1850" t="s">
        <v>2300</v>
      </c>
      <c r="B76" s="1850" t="s">
        <v>16</v>
      </c>
      <c r="C76" s="0" t="s">
        <v>2301</v>
      </c>
      <c r="D76" s="0" t="s">
        <v>2302</v>
      </c>
      <c r="E76" s="0" t="s">
        <v>2303</v>
      </c>
      <c r="F76" s="0" t="s">
        <v>2304</v>
      </c>
      <c r="G76" s="0" t="s">
        <v>22</v>
      </c>
      <c r="H76" s="0" t="s">
        <v>22</v>
      </c>
      <c r="I76" s="0" t="s">
        <v>929</v>
      </c>
    </row>
    <row customHeight="1" ht="11.25">
      <c r="A77" s="1850" t="s">
        <v>2300</v>
      </c>
      <c r="B77" s="1850" t="s">
        <v>16</v>
      </c>
      <c r="C77" s="0" t="s">
        <v>13</v>
      </c>
      <c r="D77" s="0" t="s">
        <v>46</v>
      </c>
      <c r="E77" s="0" t="s">
        <v>49</v>
      </c>
      <c r="F77" s="0" t="s">
        <v>51</v>
      </c>
      <c r="G77" s="0" t="s">
        <v>22</v>
      </c>
      <c r="H77" s="0" t="s">
        <v>22</v>
      </c>
      <c r="I77" s="0" t="s">
        <v>929</v>
      </c>
    </row>
    <row customHeight="1" ht="11.25">
      <c r="A78" s="1850" t="s">
        <v>2300</v>
      </c>
      <c r="B78" s="1850" t="s">
        <v>16</v>
      </c>
      <c r="C78" s="0" t="s">
        <v>22</v>
      </c>
      <c r="D78" s="0" t="s">
        <v>2313</v>
      </c>
      <c r="E78" s="0" t="s">
        <v>2314</v>
      </c>
      <c r="F78" s="0" t="s">
        <v>51</v>
      </c>
      <c r="G78" s="0" t="s">
        <v>22</v>
      </c>
      <c r="H78" s="0" t="s">
        <v>22</v>
      </c>
      <c r="I78" s="0" t="s">
        <v>929</v>
      </c>
    </row>
    <row customHeight="1" ht="11.25">
      <c r="A79" s="1850" t="s">
        <v>2300</v>
      </c>
      <c r="B79" s="1850" t="s">
        <v>16</v>
      </c>
      <c r="C79" s="0" t="s">
        <v>22</v>
      </c>
      <c r="D79" s="0" t="s">
        <v>2328</v>
      </c>
      <c r="E79" s="0" t="s">
        <v>2329</v>
      </c>
      <c r="F79" s="0" t="s">
        <v>51</v>
      </c>
      <c r="G79" s="0" t="s">
        <v>22</v>
      </c>
      <c r="H79" s="0" t="s">
        <v>22</v>
      </c>
      <c r="I79" s="0" t="s">
        <v>929</v>
      </c>
    </row>
    <row customHeight="1" ht="11.25">
      <c r="A80" s="1850" t="s">
        <v>2300</v>
      </c>
      <c r="B80" s="1850" t="s">
        <v>16</v>
      </c>
      <c r="C80" s="0" t="s">
        <v>2472</v>
      </c>
      <c r="D80" s="0" t="s">
        <v>2473</v>
      </c>
      <c r="E80" s="0" t="s">
        <v>2474</v>
      </c>
      <c r="F80" s="0" t="s">
        <v>51</v>
      </c>
      <c r="G80" s="0" t="s">
        <v>2475</v>
      </c>
      <c r="H80" s="0" t="s">
        <v>22</v>
      </c>
      <c r="I80" s="0" t="s">
        <v>1681</v>
      </c>
    </row>
    <row customHeight="1" ht="11.25">
      <c r="A81" s="1850" t="s">
        <v>2300</v>
      </c>
      <c r="B81" s="1850" t="s">
        <v>16</v>
      </c>
      <c r="C81" s="0" t="s">
        <v>2476</v>
      </c>
      <c r="D81" s="0" t="s">
        <v>2477</v>
      </c>
      <c r="E81" s="0" t="s">
        <v>2478</v>
      </c>
      <c r="F81" s="0" t="s">
        <v>574</v>
      </c>
      <c r="G81" s="0" t="s">
        <v>2319</v>
      </c>
      <c r="H81" s="0" t="s">
        <v>22</v>
      </c>
      <c r="I81" s="0" t="s">
        <v>1681</v>
      </c>
    </row>
    <row customHeight="1" ht="11.25">
      <c r="A82" s="1850" t="s">
        <v>2300</v>
      </c>
      <c r="B82" s="1850" t="s">
        <v>16</v>
      </c>
      <c r="C82" s="0" t="s">
        <v>2479</v>
      </c>
      <c r="D82" s="0" t="s">
        <v>2480</v>
      </c>
      <c r="E82" s="0" t="s">
        <v>2481</v>
      </c>
      <c r="F82" s="0" t="s">
        <v>574</v>
      </c>
      <c r="G82" s="0" t="s">
        <v>2482</v>
      </c>
      <c r="H82" s="0" t="s">
        <v>22</v>
      </c>
      <c r="I82" s="0" t="s">
        <v>1681</v>
      </c>
    </row>
    <row customHeight="1" ht="11.25">
      <c r="A83" s="1850" t="s">
        <v>2300</v>
      </c>
      <c r="B83" s="1850" t="s">
        <v>16</v>
      </c>
      <c r="C83" s="0" t="s">
        <v>22</v>
      </c>
      <c r="D83" s="0" t="s">
        <v>2313</v>
      </c>
      <c r="E83" s="0" t="s">
        <v>2314</v>
      </c>
      <c r="F83" s="0" t="s">
        <v>51</v>
      </c>
      <c r="G83" s="0" t="s">
        <v>22</v>
      </c>
      <c r="H83" s="0" t="s">
        <v>22</v>
      </c>
      <c r="I83" s="0" t="s">
        <v>1681</v>
      </c>
    </row>
    <row customHeight="1" ht="11.25">
      <c r="A84" s="1850" t="s">
        <v>2300</v>
      </c>
      <c r="B84" s="1850" t="s">
        <v>16</v>
      </c>
      <c r="C84" s="0" t="s">
        <v>22</v>
      </c>
      <c r="D84" s="0" t="s">
        <v>2328</v>
      </c>
      <c r="E84" s="0" t="s">
        <v>2329</v>
      </c>
      <c r="F84" s="0" t="s">
        <v>51</v>
      </c>
      <c r="G84" s="0" t="s">
        <v>22</v>
      </c>
      <c r="H84" s="0" t="s">
        <v>22</v>
      </c>
      <c r="I84" s="0" t="s">
        <v>1681</v>
      </c>
    </row>
    <row customHeight="1" ht="11.25">
      <c r="A85" s="1850" t="s">
        <v>2300</v>
      </c>
      <c r="B85" s="1850" t="s">
        <v>16</v>
      </c>
      <c r="C85" s="0" t="s">
        <v>2341</v>
      </c>
      <c r="D85" s="0" t="s">
        <v>2342</v>
      </c>
      <c r="E85" s="0" t="s">
        <v>2343</v>
      </c>
      <c r="F85" s="0" t="s">
        <v>2344</v>
      </c>
      <c r="G85" s="0" t="s">
        <v>2345</v>
      </c>
      <c r="H85" s="0" t="s">
        <v>22</v>
      </c>
      <c r="I85" s="0" t="s">
        <v>1681</v>
      </c>
    </row>
    <row customHeight="1" ht="11.25">
      <c r="A86" s="1850" t="s">
        <v>2300</v>
      </c>
      <c r="B86" s="1850" t="s">
        <v>16</v>
      </c>
      <c r="C86" s="0" t="s">
        <v>2483</v>
      </c>
      <c r="D86" s="0" t="s">
        <v>2384</v>
      </c>
      <c r="E86" s="0" t="s">
        <v>2484</v>
      </c>
      <c r="F86" s="0" t="s">
        <v>2318</v>
      </c>
      <c r="G86" s="0" t="s">
        <v>2485</v>
      </c>
      <c r="H86" s="0" t="s">
        <v>22</v>
      </c>
      <c r="I86" s="0" t="s">
        <v>1681</v>
      </c>
    </row>
    <row customHeight="1" ht="11.25">
      <c r="A87" s="1850" t="s">
        <v>2300</v>
      </c>
      <c r="B87" s="1850" t="s">
        <v>16</v>
      </c>
      <c r="C87" s="0" t="s">
        <v>2486</v>
      </c>
      <c r="D87" s="0" t="s">
        <v>2487</v>
      </c>
      <c r="E87" s="0" t="s">
        <v>2488</v>
      </c>
      <c r="F87" s="0" t="s">
        <v>2318</v>
      </c>
      <c r="G87" s="0" t="s">
        <v>2489</v>
      </c>
      <c r="H87" s="0" t="s">
        <v>22</v>
      </c>
      <c r="I87" s="0" t="s">
        <v>1681</v>
      </c>
    </row>
    <row customHeight="1" ht="11.25">
      <c r="A88" s="1850" t="s">
        <v>2300</v>
      </c>
      <c r="B88" s="1850" t="s">
        <v>16</v>
      </c>
      <c r="C88" s="0" t="s">
        <v>2454</v>
      </c>
      <c r="D88" s="0" t="s">
        <v>2455</v>
      </c>
      <c r="E88" s="0" t="s">
        <v>2456</v>
      </c>
      <c r="F88" s="0" t="s">
        <v>2451</v>
      </c>
      <c r="G88" s="0" t="s">
        <v>2457</v>
      </c>
      <c r="H88" s="0" t="s">
        <v>22</v>
      </c>
      <c r="I88" s="0" t="s">
        <v>1681</v>
      </c>
    </row>
    <row customHeight="1" ht="11.25">
      <c r="A89" s="1850" t="s">
        <v>2300</v>
      </c>
      <c r="B89" s="1850" t="s">
        <v>16</v>
      </c>
      <c r="C89" s="0" t="s">
        <v>2490</v>
      </c>
      <c r="D89" s="0" t="s">
        <v>2491</v>
      </c>
      <c r="E89" s="0" t="s">
        <v>2492</v>
      </c>
      <c r="F89" s="0" t="s">
        <v>51</v>
      </c>
      <c r="G89" s="0" t="s">
        <v>2493</v>
      </c>
      <c r="H89" s="0" t="s">
        <v>22</v>
      </c>
      <c r="I89" s="0" t="s">
        <v>1681</v>
      </c>
    </row>
    <row customHeight="1" ht="11.25">
      <c r="A90" s="1850" t="s">
        <v>2300</v>
      </c>
      <c r="B90" s="1850" t="s">
        <v>16</v>
      </c>
      <c r="C90" s="0" t="s">
        <v>2494</v>
      </c>
      <c r="D90" s="0" t="s">
        <v>2495</v>
      </c>
      <c r="E90" s="0" t="s">
        <v>2496</v>
      </c>
      <c r="F90" s="0" t="s">
        <v>2318</v>
      </c>
      <c r="G90" s="0" t="s">
        <v>2497</v>
      </c>
      <c r="H90" s="0" t="s">
        <v>22</v>
      </c>
      <c r="I90" s="0" t="s">
        <v>1681</v>
      </c>
    </row>
    <row customHeight="1" ht="11.25">
      <c r="A91" s="1850" t="s">
        <v>2300</v>
      </c>
      <c r="B91" s="1850" t="s">
        <v>16</v>
      </c>
      <c r="C91" s="0" t="s">
        <v>2498</v>
      </c>
      <c r="D91" s="0" t="s">
        <v>2499</v>
      </c>
      <c r="E91" s="0" t="s">
        <v>2500</v>
      </c>
      <c r="F91" s="0" t="s">
        <v>51</v>
      </c>
      <c r="G91" s="0" t="s">
        <v>2501</v>
      </c>
      <c r="H91" s="0" t="s">
        <v>22</v>
      </c>
      <c r="I91" s="0" t="s">
        <v>1681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6F9B4-C819-8138-2A28-0.F8F854EA}" mc:Ignorable="x14ac xr xr2 xr3">
  <sheetPr>
    <tabColor rgb="FFFFCC99"/>
  </sheetPr>
  <dimension ref="A1:G105"/>
  <sheetViews>
    <sheetView topLeftCell="A1" showGridLines="0" workbookViewId="0">
      <selection activeCell="A1" sqref="A1"/>
    </sheetView>
  </sheetViews>
  <sheetFormatPr customHeight="1" defaultRowHeight="11.25"/>
  <cols>
    <col min="1" max="1" style="1850" width="9.140625"/>
  </cols>
  <sheetData>
    <row customHeight="1" ht="11.25">
      <c r="A1" s="376" t="s">
        <v>2502</v>
      </c>
      <c r="B1" s="67" t="s">
        <v>2503</v>
      </c>
      <c r="C1" s="65" t="s">
        <v>2504</v>
      </c>
      <c r="D1" s="65" t="s">
        <v>2505</v>
      </c>
      <c r="E1" s="65" t="s">
        <v>2506</v>
      </c>
      <c r="F1" s="65" t="s">
        <v>2507</v>
      </c>
      <c r="G1" s="65" t="s">
        <v>2508</v>
      </c>
    </row>
    <row customHeight="1" ht="11.25">
      <c r="A2" s="376" t="s">
        <v>16</v>
      </c>
      <c r="B2" s="0" t="s">
        <v>100</v>
      </c>
      <c r="C2" s="0" t="s">
        <v>101</v>
      </c>
      <c r="D2" s="0" t="s">
        <v>100</v>
      </c>
      <c r="E2" s="0" t="s">
        <v>101</v>
      </c>
      <c r="F2" s="0" t="s">
        <v>2509</v>
      </c>
      <c r="G2" s="0" t="s">
        <v>99</v>
      </c>
    </row>
    <row customHeight="1" ht="11.25">
      <c r="A3" s="1850" t="s">
        <v>16</v>
      </c>
      <c r="B3" s="0" t="s">
        <v>2510</v>
      </c>
      <c r="C3" s="0" t="s">
        <v>2511</v>
      </c>
      <c r="D3" s="0" t="s">
        <v>2512</v>
      </c>
      <c r="E3" s="0" t="s">
        <v>2513</v>
      </c>
      <c r="F3" s="0" t="s">
        <v>2514</v>
      </c>
      <c r="G3" s="0" t="s">
        <v>109</v>
      </c>
    </row>
    <row customHeight="1" ht="11.25">
      <c r="A4" s="1850" t="s">
        <v>16</v>
      </c>
      <c r="B4" s="0" t="s">
        <v>2510</v>
      </c>
      <c r="C4" s="0" t="s">
        <v>2511</v>
      </c>
      <c r="D4" s="0" t="s">
        <v>2515</v>
      </c>
      <c r="E4" s="0" t="s">
        <v>2516</v>
      </c>
      <c r="F4" s="0" t="s">
        <v>2514</v>
      </c>
      <c r="G4" s="0" t="s">
        <v>90</v>
      </c>
    </row>
    <row customHeight="1" ht="11.25">
      <c r="A5" s="1850" t="s">
        <v>16</v>
      </c>
      <c r="B5" s="0" t="s">
        <v>2510</v>
      </c>
      <c r="C5" s="0" t="s">
        <v>2511</v>
      </c>
      <c r="D5" s="0" t="s">
        <v>2517</v>
      </c>
      <c r="E5" s="0" t="s">
        <v>2518</v>
      </c>
      <c r="F5" s="0" t="s">
        <v>2514</v>
      </c>
      <c r="G5" s="0" t="s">
        <v>91</v>
      </c>
    </row>
    <row customHeight="1" ht="11.25">
      <c r="A6" s="1850" t="s">
        <v>16</v>
      </c>
      <c r="B6" s="0" t="s">
        <v>2510</v>
      </c>
      <c r="C6" s="0" t="s">
        <v>2511</v>
      </c>
      <c r="D6" s="0" t="s">
        <v>2519</v>
      </c>
      <c r="E6" s="0" t="s">
        <v>2520</v>
      </c>
      <c r="F6" s="0" t="s">
        <v>2514</v>
      </c>
      <c r="G6" s="0" t="s">
        <v>110</v>
      </c>
    </row>
    <row customHeight="1" ht="11.25">
      <c r="A7" s="1850" t="s">
        <v>16</v>
      </c>
      <c r="B7" s="0" t="s">
        <v>2510</v>
      </c>
      <c r="C7" s="0" t="s">
        <v>2511</v>
      </c>
      <c r="D7" s="0" t="s">
        <v>2510</v>
      </c>
      <c r="E7" s="0" t="s">
        <v>2511</v>
      </c>
      <c r="F7" s="0" t="s">
        <v>2521</v>
      </c>
      <c r="G7" s="0" t="s">
        <v>92</v>
      </c>
    </row>
    <row customHeight="1" ht="11.25">
      <c r="A8" s="1850" t="s">
        <v>16</v>
      </c>
      <c r="B8" s="0" t="s">
        <v>2510</v>
      </c>
      <c r="C8" s="0" t="s">
        <v>2511</v>
      </c>
      <c r="D8" s="0" t="s">
        <v>2522</v>
      </c>
      <c r="E8" s="0" t="s">
        <v>2523</v>
      </c>
      <c r="F8" s="0" t="s">
        <v>2514</v>
      </c>
      <c r="G8" s="0" t="s">
        <v>93</v>
      </c>
    </row>
    <row customHeight="1" ht="11.25">
      <c r="A9" s="1850" t="s">
        <v>16</v>
      </c>
      <c r="B9" s="0" t="s">
        <v>2510</v>
      </c>
      <c r="C9" s="0" t="s">
        <v>2511</v>
      </c>
      <c r="D9" s="0" t="s">
        <v>2524</v>
      </c>
      <c r="E9" s="0" t="s">
        <v>2525</v>
      </c>
      <c r="F9" s="0" t="s">
        <v>2514</v>
      </c>
      <c r="G9" s="0" t="s">
        <v>111</v>
      </c>
    </row>
    <row customHeight="1" ht="11.25">
      <c r="A10" s="1850" t="s">
        <v>16</v>
      </c>
      <c r="B10" s="0" t="s">
        <v>2510</v>
      </c>
      <c r="C10" s="0" t="s">
        <v>2511</v>
      </c>
      <c r="D10" s="0" t="s">
        <v>2526</v>
      </c>
      <c r="E10" s="0" t="s">
        <v>2527</v>
      </c>
      <c r="F10" s="0" t="s">
        <v>2514</v>
      </c>
      <c r="G10" s="0" t="s">
        <v>151</v>
      </c>
    </row>
    <row customHeight="1" ht="11.25">
      <c r="A11" s="1850" t="s">
        <v>16</v>
      </c>
      <c r="B11" s="0" t="s">
        <v>2510</v>
      </c>
      <c r="C11" s="0" t="s">
        <v>2511</v>
      </c>
      <c r="D11" s="0" t="s">
        <v>2528</v>
      </c>
      <c r="E11" s="0" t="s">
        <v>2529</v>
      </c>
      <c r="F11" s="0" t="s">
        <v>2514</v>
      </c>
      <c r="G11" s="0" t="s">
        <v>152</v>
      </c>
    </row>
    <row customHeight="1" ht="11.25">
      <c r="A12" s="1850" t="s">
        <v>16</v>
      </c>
      <c r="B12" s="0" t="s">
        <v>2510</v>
      </c>
      <c r="C12" s="0" t="s">
        <v>2511</v>
      </c>
      <c r="D12" s="0" t="s">
        <v>2530</v>
      </c>
      <c r="E12" s="0" t="s">
        <v>2531</v>
      </c>
      <c r="F12" s="0" t="s">
        <v>2514</v>
      </c>
      <c r="G12" s="0" t="s">
        <v>153</v>
      </c>
    </row>
    <row customHeight="1" ht="11.25">
      <c r="A13" s="1850" t="s">
        <v>16</v>
      </c>
      <c r="B13" s="0" t="s">
        <v>2510</v>
      </c>
      <c r="C13" s="0" t="s">
        <v>2511</v>
      </c>
      <c r="D13" s="0" t="s">
        <v>2532</v>
      </c>
      <c r="E13" s="0" t="s">
        <v>2533</v>
      </c>
      <c r="F13" s="0" t="s">
        <v>2514</v>
      </c>
      <c r="G13" s="0" t="s">
        <v>154</v>
      </c>
    </row>
    <row customHeight="1" ht="11.25">
      <c r="A14" s="1850" t="s">
        <v>16</v>
      </c>
      <c r="B14" s="0" t="s">
        <v>2510</v>
      </c>
      <c r="C14" s="0" t="s">
        <v>2511</v>
      </c>
      <c r="D14" s="0" t="s">
        <v>2534</v>
      </c>
      <c r="E14" s="0" t="s">
        <v>2535</v>
      </c>
      <c r="F14" s="0" t="s">
        <v>2514</v>
      </c>
      <c r="G14" s="0" t="s">
        <v>155</v>
      </c>
    </row>
    <row customHeight="1" ht="11.25">
      <c r="A15" s="1850" t="s">
        <v>16</v>
      </c>
      <c r="B15" s="0" t="s">
        <v>2510</v>
      </c>
      <c r="C15" s="0" t="s">
        <v>2511</v>
      </c>
      <c r="D15" s="0" t="s">
        <v>2536</v>
      </c>
      <c r="E15" s="0" t="s">
        <v>2537</v>
      </c>
      <c r="F15" s="0" t="s">
        <v>2514</v>
      </c>
      <c r="G15" s="0" t="s">
        <v>156</v>
      </c>
    </row>
    <row customHeight="1" ht="11.25">
      <c r="A16" s="1850" t="s">
        <v>16</v>
      </c>
      <c r="B16" s="0" t="s">
        <v>2538</v>
      </c>
      <c r="C16" s="0" t="s">
        <v>2539</v>
      </c>
      <c r="D16" s="0" t="s">
        <v>2540</v>
      </c>
      <c r="E16" s="0" t="s">
        <v>2541</v>
      </c>
      <c r="F16" s="0" t="s">
        <v>2514</v>
      </c>
      <c r="G16" s="0" t="s">
        <v>1524</v>
      </c>
    </row>
    <row customHeight="1" ht="11.25">
      <c r="A17" s="1850" t="s">
        <v>16</v>
      </c>
      <c r="B17" s="0" t="s">
        <v>2538</v>
      </c>
      <c r="C17" s="0" t="s">
        <v>2539</v>
      </c>
      <c r="D17" s="0" t="s">
        <v>2542</v>
      </c>
      <c r="E17" s="0" t="s">
        <v>2543</v>
      </c>
      <c r="F17" s="0" t="s">
        <v>2514</v>
      </c>
      <c r="G17" s="0" t="s">
        <v>1530</v>
      </c>
    </row>
    <row customHeight="1" ht="11.25">
      <c r="A18" s="1850" t="s">
        <v>16</v>
      </c>
      <c r="B18" s="0" t="s">
        <v>2538</v>
      </c>
      <c r="C18" s="0" t="s">
        <v>2539</v>
      </c>
      <c r="D18" s="0" t="s">
        <v>2538</v>
      </c>
      <c r="E18" s="0" t="s">
        <v>2539</v>
      </c>
      <c r="F18" s="0" t="s">
        <v>2521</v>
      </c>
      <c r="G18" s="0" t="s">
        <v>1542</v>
      </c>
    </row>
    <row customHeight="1" ht="11.25">
      <c r="A19" s="1850" t="s">
        <v>16</v>
      </c>
      <c r="B19" s="0" t="s">
        <v>2538</v>
      </c>
      <c r="C19" s="0" t="s">
        <v>2539</v>
      </c>
      <c r="D19" s="0" t="s">
        <v>2544</v>
      </c>
      <c r="E19" s="0" t="s">
        <v>2545</v>
      </c>
      <c r="F19" s="0" t="s">
        <v>2514</v>
      </c>
      <c r="G19" s="0" t="s">
        <v>1556</v>
      </c>
    </row>
    <row customHeight="1" ht="11.25">
      <c r="A20" s="1850" t="s">
        <v>16</v>
      </c>
      <c r="B20" s="0" t="s">
        <v>2538</v>
      </c>
      <c r="C20" s="0" t="s">
        <v>2539</v>
      </c>
      <c r="D20" s="0" t="s">
        <v>2546</v>
      </c>
      <c r="E20" s="0" t="s">
        <v>2547</v>
      </c>
      <c r="F20" s="0" t="s">
        <v>2514</v>
      </c>
      <c r="G20" s="0" t="s">
        <v>1568</v>
      </c>
    </row>
    <row customHeight="1" ht="11.25">
      <c r="A21" s="1850" t="s">
        <v>16</v>
      </c>
      <c r="B21" s="0" t="s">
        <v>2538</v>
      </c>
      <c r="C21" s="0" t="s">
        <v>2539</v>
      </c>
      <c r="D21" s="0" t="s">
        <v>2548</v>
      </c>
      <c r="E21" s="0" t="s">
        <v>2549</v>
      </c>
      <c r="F21" s="0" t="s">
        <v>2514</v>
      </c>
      <c r="G21" s="0" t="s">
        <v>1577</v>
      </c>
    </row>
    <row customHeight="1" ht="11.25">
      <c r="A22" s="1850" t="s">
        <v>16</v>
      </c>
      <c r="B22" s="0" t="s">
        <v>2538</v>
      </c>
      <c r="C22" s="0" t="s">
        <v>2539</v>
      </c>
      <c r="D22" s="0" t="s">
        <v>2550</v>
      </c>
      <c r="E22" s="0" t="s">
        <v>2551</v>
      </c>
      <c r="F22" s="0" t="s">
        <v>2514</v>
      </c>
      <c r="G22" s="0" t="s">
        <v>1593</v>
      </c>
    </row>
    <row customHeight="1" ht="11.25">
      <c r="A23" s="1850" t="s">
        <v>16</v>
      </c>
      <c r="B23" s="0" t="s">
        <v>2552</v>
      </c>
      <c r="C23" s="0" t="s">
        <v>2553</v>
      </c>
      <c r="D23" s="0" t="s">
        <v>2552</v>
      </c>
      <c r="E23" s="0" t="s">
        <v>2553</v>
      </c>
      <c r="F23" s="0" t="s">
        <v>2554</v>
      </c>
      <c r="G23" s="0" t="s">
        <v>1600</v>
      </c>
    </row>
    <row customHeight="1" ht="11.25">
      <c r="A24" s="1850" t="s">
        <v>16</v>
      </c>
      <c r="B24" s="0" t="s">
        <v>2555</v>
      </c>
      <c r="C24" s="0" t="s">
        <v>2556</v>
      </c>
      <c r="D24" s="0" t="s">
        <v>2555</v>
      </c>
      <c r="E24" s="0" t="s">
        <v>2556</v>
      </c>
      <c r="F24" s="0" t="s">
        <v>2554</v>
      </c>
      <c r="G24" s="0" t="s">
        <v>1608</v>
      </c>
    </row>
    <row customHeight="1" ht="11.25">
      <c r="A25" s="1850" t="s">
        <v>16</v>
      </c>
      <c r="B25" s="0" t="s">
        <v>2557</v>
      </c>
      <c r="C25" s="0" t="s">
        <v>2558</v>
      </c>
      <c r="D25" s="0" t="s">
        <v>2559</v>
      </c>
      <c r="E25" s="0" t="s">
        <v>2560</v>
      </c>
      <c r="F25" s="0" t="s">
        <v>2514</v>
      </c>
      <c r="G25" s="0" t="s">
        <v>1615</v>
      </c>
    </row>
    <row customHeight="1" ht="11.25">
      <c r="A26" s="1850" t="s">
        <v>16</v>
      </c>
      <c r="B26" s="0" t="s">
        <v>2557</v>
      </c>
      <c r="C26" s="0" t="s">
        <v>2558</v>
      </c>
      <c r="D26" s="0" t="s">
        <v>2561</v>
      </c>
      <c r="E26" s="0" t="s">
        <v>2562</v>
      </c>
      <c r="F26" s="0" t="s">
        <v>2514</v>
      </c>
      <c r="G26" s="0" t="s">
        <v>1619</v>
      </c>
    </row>
    <row customHeight="1" ht="11.25">
      <c r="A27" s="1850" t="s">
        <v>16</v>
      </c>
      <c r="B27" s="0" t="s">
        <v>2557</v>
      </c>
      <c r="C27" s="0" t="s">
        <v>2558</v>
      </c>
      <c r="D27" s="0" t="s">
        <v>2563</v>
      </c>
      <c r="E27" s="0" t="s">
        <v>2564</v>
      </c>
      <c r="F27" s="0" t="s">
        <v>2514</v>
      </c>
      <c r="G27" s="0" t="s">
        <v>1624</v>
      </c>
    </row>
    <row customHeight="1" ht="11.25">
      <c r="A28" s="1850" t="s">
        <v>16</v>
      </c>
      <c r="B28" s="0" t="s">
        <v>2557</v>
      </c>
      <c r="C28" s="0" t="s">
        <v>2558</v>
      </c>
      <c r="D28" s="0" t="s">
        <v>2565</v>
      </c>
      <c r="E28" s="0" t="s">
        <v>2566</v>
      </c>
      <c r="F28" s="0" t="s">
        <v>2514</v>
      </c>
      <c r="G28" s="0" t="s">
        <v>1632</v>
      </c>
    </row>
    <row customHeight="1" ht="11.25">
      <c r="A29" s="1850" t="s">
        <v>16</v>
      </c>
      <c r="B29" s="0" t="s">
        <v>2557</v>
      </c>
      <c r="C29" s="0" t="s">
        <v>2558</v>
      </c>
      <c r="D29" s="0" t="s">
        <v>2567</v>
      </c>
      <c r="E29" s="0" t="s">
        <v>2568</v>
      </c>
      <c r="F29" s="0" t="s">
        <v>2514</v>
      </c>
      <c r="G29" s="0" t="s">
        <v>1634</v>
      </c>
    </row>
    <row customHeight="1" ht="11.25">
      <c r="A30" s="1850" t="s">
        <v>16</v>
      </c>
      <c r="B30" s="0" t="s">
        <v>2557</v>
      </c>
      <c r="C30" s="0" t="s">
        <v>2558</v>
      </c>
      <c r="D30" s="0" t="s">
        <v>2569</v>
      </c>
      <c r="E30" s="0" t="s">
        <v>2570</v>
      </c>
      <c r="F30" s="0" t="s">
        <v>2514</v>
      </c>
      <c r="G30" s="0" t="s">
        <v>1637</v>
      </c>
    </row>
    <row customHeight="1" ht="11.25">
      <c r="A31" s="1850" t="s">
        <v>16</v>
      </c>
      <c r="B31" s="0" t="s">
        <v>2557</v>
      </c>
      <c r="C31" s="0" t="s">
        <v>2558</v>
      </c>
      <c r="D31" s="0" t="s">
        <v>2557</v>
      </c>
      <c r="E31" s="0" t="s">
        <v>2558</v>
      </c>
      <c r="F31" s="0" t="s">
        <v>2521</v>
      </c>
      <c r="G31" s="0" t="s">
        <v>1643</v>
      </c>
    </row>
    <row customHeight="1" ht="11.25">
      <c r="A32" s="1850" t="s">
        <v>16</v>
      </c>
      <c r="B32" s="0" t="s">
        <v>2557</v>
      </c>
      <c r="C32" s="0" t="s">
        <v>2558</v>
      </c>
      <c r="D32" s="0" t="s">
        <v>2571</v>
      </c>
      <c r="E32" s="0" t="s">
        <v>2572</v>
      </c>
      <c r="F32" s="0" t="s">
        <v>2514</v>
      </c>
      <c r="G32" s="0" t="s">
        <v>1645</v>
      </c>
    </row>
    <row customHeight="1" ht="11.25">
      <c r="A33" s="1850" t="s">
        <v>16</v>
      </c>
      <c r="B33" s="0" t="s">
        <v>2557</v>
      </c>
      <c r="C33" s="0" t="s">
        <v>2558</v>
      </c>
      <c r="D33" s="0" t="s">
        <v>2573</v>
      </c>
      <c r="E33" s="0" t="s">
        <v>2574</v>
      </c>
      <c r="F33" s="0" t="s">
        <v>2514</v>
      </c>
      <c r="G33" s="0" t="s">
        <v>1647</v>
      </c>
    </row>
    <row customHeight="1" ht="11.25">
      <c r="A34" s="1850" t="s">
        <v>16</v>
      </c>
      <c r="B34" s="0" t="s">
        <v>2557</v>
      </c>
      <c r="C34" s="0" t="s">
        <v>2558</v>
      </c>
      <c r="D34" s="0" t="s">
        <v>2575</v>
      </c>
      <c r="E34" s="0" t="s">
        <v>2576</v>
      </c>
      <c r="F34" s="0" t="s">
        <v>2514</v>
      </c>
      <c r="G34" s="0" t="s">
        <v>1649</v>
      </c>
    </row>
    <row customHeight="1" ht="11.25">
      <c r="A35" s="1850" t="s">
        <v>16</v>
      </c>
      <c r="B35" s="0" t="s">
        <v>2557</v>
      </c>
      <c r="C35" s="0" t="s">
        <v>2558</v>
      </c>
      <c r="D35" s="0" t="s">
        <v>2577</v>
      </c>
      <c r="E35" s="0" t="s">
        <v>2578</v>
      </c>
      <c r="F35" s="0" t="s">
        <v>2514</v>
      </c>
      <c r="G35" s="0" t="s">
        <v>1654</v>
      </c>
    </row>
    <row customHeight="1" ht="11.25">
      <c r="A36" s="1850" t="s">
        <v>16</v>
      </c>
      <c r="B36" s="0" t="s">
        <v>2579</v>
      </c>
      <c r="C36" s="0" t="s">
        <v>2580</v>
      </c>
      <c r="D36" s="0" t="s">
        <v>2581</v>
      </c>
      <c r="E36" s="0" t="s">
        <v>2582</v>
      </c>
      <c r="F36" s="0" t="s">
        <v>2514</v>
      </c>
      <c r="G36" s="0" t="s">
        <v>1659</v>
      </c>
    </row>
    <row customHeight="1" ht="11.25">
      <c r="A37" s="1850" t="s">
        <v>16</v>
      </c>
      <c r="B37" s="0" t="s">
        <v>2579</v>
      </c>
      <c r="C37" s="0" t="s">
        <v>2580</v>
      </c>
      <c r="D37" s="0" t="s">
        <v>2583</v>
      </c>
      <c r="E37" s="0" t="s">
        <v>2584</v>
      </c>
      <c r="F37" s="0" t="s">
        <v>2514</v>
      </c>
      <c r="G37" s="0" t="s">
        <v>1663</v>
      </c>
    </row>
    <row customHeight="1" ht="11.25">
      <c r="A38" s="1850" t="s">
        <v>16</v>
      </c>
      <c r="B38" s="0" t="s">
        <v>2579</v>
      </c>
      <c r="C38" s="0" t="s">
        <v>2580</v>
      </c>
      <c r="D38" s="0" t="s">
        <v>2585</v>
      </c>
      <c r="E38" s="0" t="s">
        <v>2586</v>
      </c>
      <c r="F38" s="0" t="s">
        <v>2514</v>
      </c>
      <c r="G38" s="0" t="s">
        <v>1671</v>
      </c>
    </row>
    <row customHeight="1" ht="11.25">
      <c r="A39" s="1850" t="s">
        <v>16</v>
      </c>
      <c r="B39" s="0" t="s">
        <v>2579</v>
      </c>
      <c r="C39" s="0" t="s">
        <v>2580</v>
      </c>
      <c r="D39" s="0" t="s">
        <v>2587</v>
      </c>
      <c r="E39" s="0" t="s">
        <v>2588</v>
      </c>
      <c r="F39" s="0" t="s">
        <v>2514</v>
      </c>
      <c r="G39" s="0" t="s">
        <v>1677</v>
      </c>
    </row>
    <row customHeight="1" ht="11.25">
      <c r="A40" s="1850" t="s">
        <v>16</v>
      </c>
      <c r="B40" s="0" t="s">
        <v>2579</v>
      </c>
      <c r="C40" s="0" t="s">
        <v>2580</v>
      </c>
      <c r="D40" s="0" t="s">
        <v>2589</v>
      </c>
      <c r="E40" s="0" t="s">
        <v>2590</v>
      </c>
      <c r="F40" s="0" t="s">
        <v>2514</v>
      </c>
      <c r="G40" s="0" t="s">
        <v>1682</v>
      </c>
    </row>
    <row customHeight="1" ht="11.25">
      <c r="A41" s="1850" t="s">
        <v>16</v>
      </c>
      <c r="B41" s="0" t="s">
        <v>2579</v>
      </c>
      <c r="C41" s="0" t="s">
        <v>2580</v>
      </c>
      <c r="D41" s="0" t="s">
        <v>2591</v>
      </c>
      <c r="E41" s="0" t="s">
        <v>2592</v>
      </c>
      <c r="F41" s="0" t="s">
        <v>2514</v>
      </c>
      <c r="G41" s="0" t="s">
        <v>1686</v>
      </c>
    </row>
    <row customHeight="1" ht="11.25">
      <c r="A42" s="1850" t="s">
        <v>16</v>
      </c>
      <c r="B42" s="0" t="s">
        <v>2579</v>
      </c>
      <c r="C42" s="0" t="s">
        <v>2580</v>
      </c>
      <c r="D42" s="0" t="s">
        <v>2593</v>
      </c>
      <c r="E42" s="0" t="s">
        <v>2594</v>
      </c>
      <c r="F42" s="0" t="s">
        <v>2514</v>
      </c>
      <c r="G42" s="0" t="s">
        <v>1689</v>
      </c>
    </row>
    <row customHeight="1" ht="11.25">
      <c r="A43" s="1850" t="s">
        <v>16</v>
      </c>
      <c r="B43" s="0" t="s">
        <v>2579</v>
      </c>
      <c r="C43" s="0" t="s">
        <v>2580</v>
      </c>
      <c r="D43" s="0" t="s">
        <v>2595</v>
      </c>
      <c r="E43" s="0" t="s">
        <v>2596</v>
      </c>
      <c r="F43" s="0" t="s">
        <v>2514</v>
      </c>
      <c r="G43" s="0" t="s">
        <v>1696</v>
      </c>
    </row>
    <row customHeight="1" ht="11.25">
      <c r="A44" s="1850" t="s">
        <v>16</v>
      </c>
      <c r="B44" s="0" t="s">
        <v>2579</v>
      </c>
      <c r="C44" s="0" t="s">
        <v>2580</v>
      </c>
      <c r="D44" s="0" t="s">
        <v>2579</v>
      </c>
      <c r="E44" s="0" t="s">
        <v>2580</v>
      </c>
      <c r="F44" s="0" t="s">
        <v>2521</v>
      </c>
      <c r="G44" s="0" t="s">
        <v>1705</v>
      </c>
    </row>
    <row customHeight="1" ht="11.25">
      <c r="A45" s="1850" t="s">
        <v>16</v>
      </c>
      <c r="B45" s="0" t="s">
        <v>2579</v>
      </c>
      <c r="C45" s="0" t="s">
        <v>2580</v>
      </c>
      <c r="D45" s="0" t="s">
        <v>2597</v>
      </c>
      <c r="E45" s="0" t="s">
        <v>2598</v>
      </c>
      <c r="F45" s="0" t="s">
        <v>2514</v>
      </c>
      <c r="G45" s="0" t="s">
        <v>1710</v>
      </c>
    </row>
    <row customHeight="1" ht="11.25">
      <c r="A46" s="1850" t="s">
        <v>16</v>
      </c>
      <c r="B46" s="0" t="s">
        <v>2599</v>
      </c>
      <c r="C46" s="0" t="s">
        <v>2600</v>
      </c>
      <c r="D46" s="0" t="s">
        <v>2601</v>
      </c>
      <c r="E46" s="0" t="s">
        <v>2602</v>
      </c>
      <c r="F46" s="0" t="s">
        <v>2514</v>
      </c>
      <c r="G46" s="0" t="s">
        <v>1714</v>
      </c>
    </row>
    <row customHeight="1" ht="11.25">
      <c r="A47" s="1850" t="s">
        <v>16</v>
      </c>
      <c r="B47" s="0" t="s">
        <v>2599</v>
      </c>
      <c r="C47" s="0" t="s">
        <v>2600</v>
      </c>
      <c r="D47" s="0" t="s">
        <v>2603</v>
      </c>
      <c r="E47" s="0" t="s">
        <v>2604</v>
      </c>
      <c r="F47" s="0" t="s">
        <v>2514</v>
      </c>
      <c r="G47" s="0" t="s">
        <v>1719</v>
      </c>
    </row>
    <row customHeight="1" ht="11.25">
      <c r="A48" s="1850" t="s">
        <v>16</v>
      </c>
      <c r="B48" s="0" t="s">
        <v>2599</v>
      </c>
      <c r="C48" s="0" t="s">
        <v>2600</v>
      </c>
      <c r="D48" s="0" t="s">
        <v>2605</v>
      </c>
      <c r="E48" s="0" t="s">
        <v>2606</v>
      </c>
      <c r="F48" s="0" t="s">
        <v>2514</v>
      </c>
      <c r="G48" s="0" t="s">
        <v>1724</v>
      </c>
    </row>
    <row customHeight="1" ht="11.25">
      <c r="A49" s="1850" t="s">
        <v>16</v>
      </c>
      <c r="B49" s="0" t="s">
        <v>2599</v>
      </c>
      <c r="C49" s="0" t="s">
        <v>2600</v>
      </c>
      <c r="D49" s="0" t="s">
        <v>2599</v>
      </c>
      <c r="E49" s="0" t="s">
        <v>2600</v>
      </c>
      <c r="F49" s="0" t="s">
        <v>2521</v>
      </c>
      <c r="G49" s="0" t="s">
        <v>1727</v>
      </c>
    </row>
    <row customHeight="1" ht="11.25">
      <c r="A50" s="1850" t="s">
        <v>16</v>
      </c>
      <c r="B50" s="0" t="s">
        <v>2599</v>
      </c>
      <c r="C50" s="0" t="s">
        <v>2600</v>
      </c>
      <c r="D50" s="0" t="s">
        <v>2607</v>
      </c>
      <c r="E50" s="0" t="s">
        <v>2608</v>
      </c>
      <c r="F50" s="0" t="s">
        <v>2514</v>
      </c>
      <c r="G50" s="0" t="s">
        <v>1731</v>
      </c>
    </row>
    <row customHeight="1" ht="11.25">
      <c r="A51" s="1850" t="s">
        <v>16</v>
      </c>
      <c r="B51" s="0" t="s">
        <v>2599</v>
      </c>
      <c r="C51" s="0" t="s">
        <v>2600</v>
      </c>
      <c r="D51" s="0" t="s">
        <v>2609</v>
      </c>
      <c r="E51" s="0" t="s">
        <v>2610</v>
      </c>
      <c r="F51" s="0" t="s">
        <v>2514</v>
      </c>
      <c r="G51" s="0" t="s">
        <v>1735</v>
      </c>
    </row>
    <row customHeight="1" ht="11.25">
      <c r="A52" s="1850" t="s">
        <v>16</v>
      </c>
      <c r="B52" s="0" t="s">
        <v>2599</v>
      </c>
      <c r="C52" s="0" t="s">
        <v>2600</v>
      </c>
      <c r="D52" s="0" t="s">
        <v>2611</v>
      </c>
      <c r="E52" s="0" t="s">
        <v>2612</v>
      </c>
      <c r="F52" s="0" t="s">
        <v>2514</v>
      </c>
      <c r="G52" s="0" t="s">
        <v>1739</v>
      </c>
    </row>
    <row customHeight="1" ht="11.25">
      <c r="A53" s="1850" t="s">
        <v>16</v>
      </c>
      <c r="B53" s="0" t="s">
        <v>2599</v>
      </c>
      <c r="C53" s="0" t="s">
        <v>2600</v>
      </c>
      <c r="D53" s="0" t="s">
        <v>2613</v>
      </c>
      <c r="E53" s="0" t="s">
        <v>2614</v>
      </c>
      <c r="F53" s="0" t="s">
        <v>2514</v>
      </c>
      <c r="G53" s="0" t="s">
        <v>1741</v>
      </c>
    </row>
    <row customHeight="1" ht="11.25">
      <c r="A54" s="1850" t="s">
        <v>16</v>
      </c>
      <c r="B54" s="0" t="s">
        <v>2615</v>
      </c>
      <c r="C54" s="0" t="s">
        <v>2616</v>
      </c>
      <c r="D54" s="0" t="s">
        <v>2617</v>
      </c>
      <c r="E54" s="0" t="s">
        <v>2618</v>
      </c>
      <c r="F54" s="0" t="s">
        <v>2514</v>
      </c>
      <c r="G54" s="0" t="s">
        <v>1744</v>
      </c>
    </row>
    <row customHeight="1" ht="11.25">
      <c r="A55" s="1850" t="s">
        <v>16</v>
      </c>
      <c r="B55" s="0" t="s">
        <v>2615</v>
      </c>
      <c r="C55" s="0" t="s">
        <v>2616</v>
      </c>
      <c r="D55" s="0" t="s">
        <v>2619</v>
      </c>
      <c r="E55" s="0" t="s">
        <v>2620</v>
      </c>
      <c r="F55" s="0" t="s">
        <v>2514</v>
      </c>
      <c r="G55" s="0" t="s">
        <v>1748</v>
      </c>
    </row>
    <row customHeight="1" ht="11.25">
      <c r="A56" s="1850" t="s">
        <v>16</v>
      </c>
      <c r="B56" s="0" t="s">
        <v>2615</v>
      </c>
      <c r="C56" s="0" t="s">
        <v>2616</v>
      </c>
      <c r="D56" s="0" t="s">
        <v>2621</v>
      </c>
      <c r="E56" s="0" t="s">
        <v>2622</v>
      </c>
      <c r="F56" s="0" t="s">
        <v>2514</v>
      </c>
      <c r="G56" s="0" t="s">
        <v>1751</v>
      </c>
    </row>
    <row customHeight="1" ht="11.25">
      <c r="A57" s="1850" t="s">
        <v>16</v>
      </c>
      <c r="B57" s="0" t="s">
        <v>2615</v>
      </c>
      <c r="C57" s="0" t="s">
        <v>2616</v>
      </c>
      <c r="D57" s="0" t="s">
        <v>2623</v>
      </c>
      <c r="E57" s="0" t="s">
        <v>2624</v>
      </c>
      <c r="F57" s="0" t="s">
        <v>2514</v>
      </c>
      <c r="G57" s="0" t="s">
        <v>1755</v>
      </c>
    </row>
    <row customHeight="1" ht="11.25">
      <c r="A58" s="1850" t="s">
        <v>16</v>
      </c>
      <c r="B58" s="0" t="s">
        <v>2615</v>
      </c>
      <c r="C58" s="0" t="s">
        <v>2616</v>
      </c>
      <c r="D58" s="0" t="s">
        <v>2625</v>
      </c>
      <c r="E58" s="0" t="s">
        <v>2626</v>
      </c>
      <c r="F58" s="0" t="s">
        <v>2514</v>
      </c>
      <c r="G58" s="0" t="s">
        <v>1758</v>
      </c>
    </row>
    <row customHeight="1" ht="11.25">
      <c r="A59" s="1850" t="s">
        <v>16</v>
      </c>
      <c r="B59" s="0" t="s">
        <v>2615</v>
      </c>
      <c r="C59" s="0" t="s">
        <v>2616</v>
      </c>
      <c r="D59" s="0" t="s">
        <v>2627</v>
      </c>
      <c r="E59" s="0" t="s">
        <v>2628</v>
      </c>
      <c r="F59" s="0" t="s">
        <v>2514</v>
      </c>
      <c r="G59" s="0" t="s">
        <v>1762</v>
      </c>
    </row>
    <row customHeight="1" ht="11.25">
      <c r="A60" s="1850" t="s">
        <v>16</v>
      </c>
      <c r="B60" s="0" t="s">
        <v>2615</v>
      </c>
      <c r="C60" s="0" t="s">
        <v>2616</v>
      </c>
      <c r="D60" s="0" t="s">
        <v>2615</v>
      </c>
      <c r="E60" s="0" t="s">
        <v>2616</v>
      </c>
      <c r="F60" s="0" t="s">
        <v>2521</v>
      </c>
      <c r="G60" s="0" t="s">
        <v>1765</v>
      </c>
    </row>
    <row customHeight="1" ht="11.25">
      <c r="A61" s="1850" t="s">
        <v>16</v>
      </c>
      <c r="B61" s="0" t="s">
        <v>2615</v>
      </c>
      <c r="C61" s="0" t="s">
        <v>2616</v>
      </c>
      <c r="D61" s="0" t="s">
        <v>2629</v>
      </c>
      <c r="E61" s="0" t="s">
        <v>2630</v>
      </c>
      <c r="F61" s="0" t="s">
        <v>2514</v>
      </c>
      <c r="G61" s="0" t="s">
        <v>2631</v>
      </c>
    </row>
    <row customHeight="1" ht="11.25">
      <c r="A62" s="1850" t="s">
        <v>16</v>
      </c>
      <c r="B62" s="0" t="s">
        <v>2615</v>
      </c>
      <c r="C62" s="0" t="s">
        <v>2616</v>
      </c>
      <c r="D62" s="0" t="s">
        <v>2632</v>
      </c>
      <c r="E62" s="0" t="s">
        <v>2633</v>
      </c>
      <c r="F62" s="0" t="s">
        <v>2514</v>
      </c>
      <c r="G62" s="0" t="s">
        <v>2634</v>
      </c>
    </row>
    <row customHeight="1" ht="11.25">
      <c r="A63" s="1850" t="s">
        <v>16</v>
      </c>
      <c r="B63" s="0" t="s">
        <v>2615</v>
      </c>
      <c r="C63" s="0" t="s">
        <v>2616</v>
      </c>
      <c r="D63" s="0" t="s">
        <v>2635</v>
      </c>
      <c r="E63" s="0" t="s">
        <v>2636</v>
      </c>
      <c r="F63" s="0" t="s">
        <v>2514</v>
      </c>
      <c r="G63" s="0" t="s">
        <v>2637</v>
      </c>
    </row>
    <row customHeight="1" ht="11.25">
      <c r="A64" s="1850" t="s">
        <v>16</v>
      </c>
      <c r="B64" s="0" t="s">
        <v>2615</v>
      </c>
      <c r="C64" s="0" t="s">
        <v>2616</v>
      </c>
      <c r="D64" s="0" t="s">
        <v>2638</v>
      </c>
      <c r="E64" s="0" t="s">
        <v>2639</v>
      </c>
      <c r="F64" s="0" t="s">
        <v>2514</v>
      </c>
      <c r="G64" s="0" t="s">
        <v>2640</v>
      </c>
    </row>
    <row customHeight="1" ht="11.25">
      <c r="A65" s="1850" t="s">
        <v>16</v>
      </c>
      <c r="B65" s="0" t="s">
        <v>2615</v>
      </c>
      <c r="C65" s="0" t="s">
        <v>2616</v>
      </c>
      <c r="D65" s="0" t="s">
        <v>2641</v>
      </c>
      <c r="E65" s="0" t="s">
        <v>2642</v>
      </c>
      <c r="F65" s="0" t="s">
        <v>2514</v>
      </c>
      <c r="G65" s="0" t="s">
        <v>2643</v>
      </c>
    </row>
    <row customHeight="1" ht="11.25">
      <c r="A66" s="1850" t="s">
        <v>16</v>
      </c>
      <c r="B66" s="0" t="s">
        <v>2644</v>
      </c>
      <c r="C66" s="0" t="s">
        <v>2645</v>
      </c>
      <c r="D66" s="0" t="s">
        <v>2646</v>
      </c>
      <c r="E66" s="0" t="s">
        <v>2647</v>
      </c>
      <c r="F66" s="0" t="s">
        <v>2514</v>
      </c>
      <c r="G66" s="0" t="s">
        <v>2648</v>
      </c>
    </row>
    <row customHeight="1" ht="11.25">
      <c r="A67" s="1850" t="s">
        <v>16</v>
      </c>
      <c r="B67" s="0" t="s">
        <v>2644</v>
      </c>
      <c r="C67" s="0" t="s">
        <v>2645</v>
      </c>
      <c r="D67" s="0" t="s">
        <v>2649</v>
      </c>
      <c r="E67" s="0" t="s">
        <v>2650</v>
      </c>
      <c r="F67" s="0" t="s">
        <v>2514</v>
      </c>
      <c r="G67" s="0" t="s">
        <v>2077</v>
      </c>
    </row>
    <row customHeight="1" ht="11.25">
      <c r="A68" s="1850" t="s">
        <v>16</v>
      </c>
      <c r="B68" s="0" t="s">
        <v>2644</v>
      </c>
      <c r="C68" s="0" t="s">
        <v>2645</v>
      </c>
      <c r="D68" s="0" t="s">
        <v>2651</v>
      </c>
      <c r="E68" s="0" t="s">
        <v>2652</v>
      </c>
      <c r="F68" s="0" t="s">
        <v>2514</v>
      </c>
      <c r="G68" s="0" t="s">
        <v>2653</v>
      </c>
    </row>
    <row customHeight="1" ht="11.25">
      <c r="A69" s="1850" t="s">
        <v>16</v>
      </c>
      <c r="B69" s="0" t="s">
        <v>2644</v>
      </c>
      <c r="C69" s="0" t="s">
        <v>2645</v>
      </c>
      <c r="D69" s="0" t="s">
        <v>2654</v>
      </c>
      <c r="E69" s="0" t="s">
        <v>2655</v>
      </c>
      <c r="F69" s="0" t="s">
        <v>2514</v>
      </c>
      <c r="G69" s="0" t="s">
        <v>2277</v>
      </c>
    </row>
    <row customHeight="1" ht="11.25">
      <c r="A70" s="1850" t="s">
        <v>16</v>
      </c>
      <c r="B70" s="0" t="s">
        <v>2644</v>
      </c>
      <c r="C70" s="0" t="s">
        <v>2645</v>
      </c>
      <c r="D70" s="0" t="s">
        <v>2656</v>
      </c>
      <c r="E70" s="0" t="s">
        <v>2657</v>
      </c>
      <c r="F70" s="0" t="s">
        <v>2514</v>
      </c>
      <c r="G70" s="0" t="s">
        <v>2658</v>
      </c>
    </row>
    <row customHeight="1" ht="11.25">
      <c r="A71" s="1850" t="s">
        <v>16</v>
      </c>
      <c r="B71" s="0" t="s">
        <v>2644</v>
      </c>
      <c r="C71" s="0" t="s">
        <v>2645</v>
      </c>
      <c r="D71" s="0" t="s">
        <v>2659</v>
      </c>
      <c r="E71" s="0" t="s">
        <v>2660</v>
      </c>
      <c r="F71" s="0" t="s">
        <v>2514</v>
      </c>
      <c r="G71" s="0" t="s">
        <v>2661</v>
      </c>
    </row>
    <row customHeight="1" ht="11.25">
      <c r="A72" s="1850" t="s">
        <v>16</v>
      </c>
      <c r="B72" s="0" t="s">
        <v>2644</v>
      </c>
      <c r="C72" s="0" t="s">
        <v>2645</v>
      </c>
      <c r="D72" s="0" t="s">
        <v>2662</v>
      </c>
      <c r="E72" s="0" t="s">
        <v>2663</v>
      </c>
      <c r="F72" s="0" t="s">
        <v>2514</v>
      </c>
      <c r="G72" s="0" t="s">
        <v>2664</v>
      </c>
    </row>
    <row customHeight="1" ht="11.25">
      <c r="A73" s="1850" t="s">
        <v>16</v>
      </c>
      <c r="B73" s="0" t="s">
        <v>2644</v>
      </c>
      <c r="C73" s="0" t="s">
        <v>2645</v>
      </c>
      <c r="D73" s="0" t="s">
        <v>2644</v>
      </c>
      <c r="E73" s="0" t="s">
        <v>2645</v>
      </c>
      <c r="F73" s="0" t="s">
        <v>2521</v>
      </c>
      <c r="G73" s="0" t="s">
        <v>2665</v>
      </c>
    </row>
    <row customHeight="1" ht="11.25">
      <c r="A74" s="1850" t="s">
        <v>16</v>
      </c>
      <c r="B74" s="0" t="s">
        <v>2644</v>
      </c>
      <c r="C74" s="0" t="s">
        <v>2645</v>
      </c>
      <c r="D74" s="0" t="s">
        <v>2666</v>
      </c>
      <c r="E74" s="0" t="s">
        <v>2667</v>
      </c>
      <c r="F74" s="0" t="s">
        <v>2514</v>
      </c>
      <c r="G74" s="0" t="s">
        <v>2668</v>
      </c>
    </row>
    <row customHeight="1" ht="11.25">
      <c r="A75" s="1850" t="s">
        <v>16</v>
      </c>
      <c r="B75" s="0" t="s">
        <v>2644</v>
      </c>
      <c r="C75" s="0" t="s">
        <v>2645</v>
      </c>
      <c r="D75" s="0" t="s">
        <v>2669</v>
      </c>
      <c r="E75" s="0" t="s">
        <v>2670</v>
      </c>
      <c r="F75" s="0" t="s">
        <v>2514</v>
      </c>
      <c r="G75" s="0" t="s">
        <v>2671</v>
      </c>
    </row>
    <row customHeight="1" ht="11.25">
      <c r="A76" s="1850" t="s">
        <v>16</v>
      </c>
      <c r="B76" s="0" t="s">
        <v>2672</v>
      </c>
      <c r="C76" s="0" t="s">
        <v>2673</v>
      </c>
      <c r="D76" s="0" t="s">
        <v>2674</v>
      </c>
      <c r="E76" s="0" t="s">
        <v>2675</v>
      </c>
      <c r="F76" s="0" t="s">
        <v>2514</v>
      </c>
      <c r="G76" s="0" t="s">
        <v>2676</v>
      </c>
    </row>
    <row customHeight="1" ht="11.25">
      <c r="A77" s="1850" t="s">
        <v>16</v>
      </c>
      <c r="B77" s="0" t="s">
        <v>2672</v>
      </c>
      <c r="C77" s="0" t="s">
        <v>2673</v>
      </c>
      <c r="D77" s="0" t="s">
        <v>2677</v>
      </c>
      <c r="E77" s="0" t="s">
        <v>2678</v>
      </c>
      <c r="F77" s="0" t="s">
        <v>2514</v>
      </c>
      <c r="G77" s="0" t="s">
        <v>2679</v>
      </c>
    </row>
    <row customHeight="1" ht="11.25">
      <c r="A78" s="1850" t="s">
        <v>16</v>
      </c>
      <c r="B78" s="0" t="s">
        <v>2672</v>
      </c>
      <c r="C78" s="0" t="s">
        <v>2673</v>
      </c>
      <c r="D78" s="0" t="s">
        <v>2680</v>
      </c>
      <c r="E78" s="0" t="s">
        <v>2681</v>
      </c>
      <c r="F78" s="0" t="s">
        <v>2514</v>
      </c>
      <c r="G78" s="0" t="s">
        <v>2682</v>
      </c>
    </row>
    <row customHeight="1" ht="11.25">
      <c r="A79" s="1850" t="s">
        <v>16</v>
      </c>
      <c r="B79" s="0" t="s">
        <v>2672</v>
      </c>
      <c r="C79" s="0" t="s">
        <v>2673</v>
      </c>
      <c r="D79" s="0" t="s">
        <v>2683</v>
      </c>
      <c r="E79" s="0" t="s">
        <v>2684</v>
      </c>
      <c r="F79" s="0" t="s">
        <v>2514</v>
      </c>
      <c r="G79" s="0" t="s">
        <v>2685</v>
      </c>
    </row>
    <row customHeight="1" ht="11.25">
      <c r="A80" s="1850" t="s">
        <v>16</v>
      </c>
      <c r="B80" s="0" t="s">
        <v>2672</v>
      </c>
      <c r="C80" s="0" t="s">
        <v>2673</v>
      </c>
      <c r="D80" s="0" t="s">
        <v>2672</v>
      </c>
      <c r="E80" s="0" t="s">
        <v>2673</v>
      </c>
      <c r="F80" s="0" t="s">
        <v>2521</v>
      </c>
      <c r="G80" s="0" t="s">
        <v>2686</v>
      </c>
    </row>
    <row customHeight="1" ht="11.25">
      <c r="A81" s="1850" t="s">
        <v>16</v>
      </c>
      <c r="B81" s="0" t="s">
        <v>2672</v>
      </c>
      <c r="C81" s="0" t="s">
        <v>2673</v>
      </c>
      <c r="D81" s="0" t="s">
        <v>2687</v>
      </c>
      <c r="E81" s="0" t="s">
        <v>2688</v>
      </c>
      <c r="F81" s="0" t="s">
        <v>2514</v>
      </c>
      <c r="G81" s="0" t="s">
        <v>2689</v>
      </c>
    </row>
    <row customHeight="1" ht="11.25">
      <c r="A82" s="1850" t="s">
        <v>16</v>
      </c>
      <c r="B82" s="0" t="s">
        <v>2672</v>
      </c>
      <c r="C82" s="0" t="s">
        <v>2673</v>
      </c>
      <c r="D82" s="0" t="s">
        <v>2690</v>
      </c>
      <c r="E82" s="0" t="s">
        <v>2691</v>
      </c>
      <c r="F82" s="0" t="s">
        <v>2514</v>
      </c>
      <c r="G82" s="0" t="s">
        <v>2692</v>
      </c>
    </row>
    <row customHeight="1" ht="11.25">
      <c r="A83" s="1850" t="s">
        <v>16</v>
      </c>
      <c r="B83" s="0" t="s">
        <v>2672</v>
      </c>
      <c r="C83" s="0" t="s">
        <v>2673</v>
      </c>
      <c r="D83" s="0" t="s">
        <v>2693</v>
      </c>
      <c r="E83" s="0" t="s">
        <v>2694</v>
      </c>
      <c r="F83" s="0" t="s">
        <v>2514</v>
      </c>
      <c r="G83" s="0" t="s">
        <v>2695</v>
      </c>
    </row>
    <row customHeight="1" ht="11.25">
      <c r="A84" s="1850" t="s">
        <v>16</v>
      </c>
      <c r="B84" s="0" t="s">
        <v>2696</v>
      </c>
      <c r="C84" s="0" t="s">
        <v>2697</v>
      </c>
      <c r="D84" s="0" t="s">
        <v>2698</v>
      </c>
      <c r="E84" s="0" t="s">
        <v>2699</v>
      </c>
      <c r="F84" s="0" t="s">
        <v>2514</v>
      </c>
      <c r="G84" s="0" t="s">
        <v>2700</v>
      </c>
    </row>
    <row customHeight="1" ht="11.25">
      <c r="A85" s="1850" t="s">
        <v>16</v>
      </c>
      <c r="B85" s="0" t="s">
        <v>2696</v>
      </c>
      <c r="C85" s="0" t="s">
        <v>2697</v>
      </c>
      <c r="D85" s="0" t="s">
        <v>2701</v>
      </c>
      <c r="E85" s="0" t="s">
        <v>2702</v>
      </c>
      <c r="F85" s="0" t="s">
        <v>2514</v>
      </c>
      <c r="G85" s="0" t="s">
        <v>2703</v>
      </c>
    </row>
    <row customHeight="1" ht="11.25">
      <c r="A86" s="1850" t="s">
        <v>16</v>
      </c>
      <c r="B86" s="0" t="s">
        <v>2696</v>
      </c>
      <c r="C86" s="0" t="s">
        <v>2697</v>
      </c>
      <c r="D86" s="0" t="s">
        <v>2704</v>
      </c>
      <c r="E86" s="0" t="s">
        <v>2705</v>
      </c>
      <c r="F86" s="0" t="s">
        <v>2514</v>
      </c>
      <c r="G86" s="0" t="s">
        <v>2706</v>
      </c>
    </row>
    <row customHeight="1" ht="11.25">
      <c r="A87" s="1850" t="s">
        <v>16</v>
      </c>
      <c r="B87" s="0" t="s">
        <v>2696</v>
      </c>
      <c r="C87" s="0" t="s">
        <v>2697</v>
      </c>
      <c r="D87" s="0" t="s">
        <v>2707</v>
      </c>
      <c r="E87" s="0" t="s">
        <v>2708</v>
      </c>
      <c r="F87" s="0" t="s">
        <v>2514</v>
      </c>
      <c r="G87" s="0" t="s">
        <v>2709</v>
      </c>
    </row>
    <row customHeight="1" ht="11.25">
      <c r="A88" s="1850" t="s">
        <v>16</v>
      </c>
      <c r="B88" s="0" t="s">
        <v>2696</v>
      </c>
      <c r="C88" s="0" t="s">
        <v>2697</v>
      </c>
      <c r="D88" s="0" t="s">
        <v>2710</v>
      </c>
      <c r="E88" s="0" t="s">
        <v>2711</v>
      </c>
      <c r="F88" s="0" t="s">
        <v>2514</v>
      </c>
      <c r="G88" s="0" t="s">
        <v>2712</v>
      </c>
    </row>
    <row customHeight="1" ht="11.25">
      <c r="A89" s="1850" t="s">
        <v>16</v>
      </c>
      <c r="B89" s="0" t="s">
        <v>2696</v>
      </c>
      <c r="C89" s="0" t="s">
        <v>2697</v>
      </c>
      <c r="D89" s="0" t="s">
        <v>2696</v>
      </c>
      <c r="E89" s="0" t="s">
        <v>2697</v>
      </c>
      <c r="F89" s="0" t="s">
        <v>2521</v>
      </c>
      <c r="G89" s="0" t="s">
        <v>2713</v>
      </c>
    </row>
    <row customHeight="1" ht="11.25">
      <c r="A90" s="1850" t="s">
        <v>16</v>
      </c>
      <c r="B90" s="0" t="s">
        <v>2696</v>
      </c>
      <c r="C90" s="0" t="s">
        <v>2697</v>
      </c>
      <c r="D90" s="0" t="s">
        <v>2714</v>
      </c>
      <c r="E90" s="0" t="s">
        <v>2715</v>
      </c>
      <c r="F90" s="0" t="s">
        <v>2514</v>
      </c>
      <c r="G90" s="0" t="s">
        <v>2716</v>
      </c>
    </row>
    <row customHeight="1" ht="11.25">
      <c r="A91" s="1850" t="s">
        <v>16</v>
      </c>
      <c r="B91" s="0" t="s">
        <v>2696</v>
      </c>
      <c r="C91" s="0" t="s">
        <v>2697</v>
      </c>
      <c r="D91" s="0" t="s">
        <v>2717</v>
      </c>
      <c r="E91" s="0" t="s">
        <v>2718</v>
      </c>
      <c r="F91" s="0" t="s">
        <v>2514</v>
      </c>
      <c r="G91" s="0" t="s">
        <v>2719</v>
      </c>
    </row>
    <row customHeight="1" ht="11.25">
      <c r="A92" s="1850" t="s">
        <v>16</v>
      </c>
      <c r="B92" s="0" t="s">
        <v>2720</v>
      </c>
      <c r="C92" s="0" t="s">
        <v>2721</v>
      </c>
      <c r="D92" s="0" t="s">
        <v>2722</v>
      </c>
      <c r="E92" s="0" t="s">
        <v>2723</v>
      </c>
      <c r="F92" s="0" t="s">
        <v>2514</v>
      </c>
      <c r="G92" s="0" t="s">
        <v>2724</v>
      </c>
    </row>
    <row customHeight="1" ht="11.25">
      <c r="A93" s="1850" t="s">
        <v>16</v>
      </c>
      <c r="B93" s="0" t="s">
        <v>2720</v>
      </c>
      <c r="C93" s="0" t="s">
        <v>2721</v>
      </c>
      <c r="D93" s="0" t="s">
        <v>2725</v>
      </c>
      <c r="E93" s="0" t="s">
        <v>2726</v>
      </c>
      <c r="F93" s="0" t="s">
        <v>2514</v>
      </c>
      <c r="G93" s="0" t="s">
        <v>2727</v>
      </c>
    </row>
    <row customHeight="1" ht="11.25">
      <c r="A94" s="1850" t="s">
        <v>16</v>
      </c>
      <c r="B94" s="0" t="s">
        <v>2720</v>
      </c>
      <c r="C94" s="0" t="s">
        <v>2721</v>
      </c>
      <c r="D94" s="0" t="s">
        <v>2728</v>
      </c>
      <c r="E94" s="0" t="s">
        <v>2729</v>
      </c>
      <c r="F94" s="0" t="s">
        <v>2514</v>
      </c>
      <c r="G94" s="0" t="s">
        <v>2730</v>
      </c>
    </row>
    <row customHeight="1" ht="11.25">
      <c r="A95" s="1850" t="s">
        <v>16</v>
      </c>
      <c r="B95" s="0" t="s">
        <v>2720</v>
      </c>
      <c r="C95" s="0" t="s">
        <v>2721</v>
      </c>
      <c r="D95" s="0" t="s">
        <v>2731</v>
      </c>
      <c r="E95" s="0" t="s">
        <v>2732</v>
      </c>
      <c r="F95" s="0" t="s">
        <v>2514</v>
      </c>
      <c r="G95" s="0" t="s">
        <v>2733</v>
      </c>
    </row>
    <row customHeight="1" ht="11.25">
      <c r="A96" s="1850" t="s">
        <v>16</v>
      </c>
      <c r="B96" s="0" t="s">
        <v>2720</v>
      </c>
      <c r="C96" s="0" t="s">
        <v>2721</v>
      </c>
      <c r="D96" s="0" t="s">
        <v>2734</v>
      </c>
      <c r="E96" s="0" t="s">
        <v>2735</v>
      </c>
      <c r="F96" s="0" t="s">
        <v>2514</v>
      </c>
      <c r="G96" s="0" t="s">
        <v>2736</v>
      </c>
    </row>
    <row customHeight="1" ht="11.25">
      <c r="A97" s="1850" t="s">
        <v>16</v>
      </c>
      <c r="B97" s="0" t="s">
        <v>2720</v>
      </c>
      <c r="C97" s="0" t="s">
        <v>2721</v>
      </c>
      <c r="D97" s="0" t="s">
        <v>2737</v>
      </c>
      <c r="E97" s="0" t="s">
        <v>2738</v>
      </c>
      <c r="F97" s="0" t="s">
        <v>2514</v>
      </c>
      <c r="G97" s="0" t="s">
        <v>2739</v>
      </c>
    </row>
    <row customHeight="1" ht="11.25">
      <c r="A98" s="1850" t="s">
        <v>16</v>
      </c>
      <c r="B98" s="0" t="s">
        <v>2720</v>
      </c>
      <c r="C98" s="0" t="s">
        <v>2721</v>
      </c>
      <c r="D98" s="0" t="s">
        <v>2740</v>
      </c>
      <c r="E98" s="0" t="s">
        <v>2741</v>
      </c>
      <c r="F98" s="0" t="s">
        <v>2514</v>
      </c>
      <c r="G98" s="0" t="s">
        <v>2742</v>
      </c>
    </row>
    <row customHeight="1" ht="11.25">
      <c r="A99" s="1850" t="s">
        <v>16</v>
      </c>
      <c r="B99" s="0" t="s">
        <v>2720</v>
      </c>
      <c r="C99" s="0" t="s">
        <v>2721</v>
      </c>
      <c r="D99" s="0" t="s">
        <v>2743</v>
      </c>
      <c r="E99" s="0" t="s">
        <v>2744</v>
      </c>
      <c r="F99" s="0" t="s">
        <v>2514</v>
      </c>
      <c r="G99" s="0" t="s">
        <v>2745</v>
      </c>
    </row>
    <row customHeight="1" ht="11.25">
      <c r="A100" s="1850" t="s">
        <v>16</v>
      </c>
      <c r="B100" s="0" t="s">
        <v>2720</v>
      </c>
      <c r="C100" s="0" t="s">
        <v>2721</v>
      </c>
      <c r="D100" s="0" t="s">
        <v>2746</v>
      </c>
      <c r="E100" s="0" t="s">
        <v>2747</v>
      </c>
      <c r="F100" s="0" t="s">
        <v>2514</v>
      </c>
      <c r="G100" s="0" t="s">
        <v>2748</v>
      </c>
    </row>
    <row customHeight="1" ht="11.25">
      <c r="A101" s="1850" t="s">
        <v>16</v>
      </c>
      <c r="B101" s="0" t="s">
        <v>2720</v>
      </c>
      <c r="C101" s="0" t="s">
        <v>2721</v>
      </c>
      <c r="D101" s="0" t="s">
        <v>2749</v>
      </c>
      <c r="E101" s="0" t="s">
        <v>2750</v>
      </c>
      <c r="F101" s="0" t="s">
        <v>2514</v>
      </c>
      <c r="G101" s="0" t="s">
        <v>2751</v>
      </c>
    </row>
    <row customHeight="1" ht="11.25">
      <c r="A102" s="1850" t="s">
        <v>16</v>
      </c>
      <c r="B102" s="0" t="s">
        <v>2720</v>
      </c>
      <c r="C102" s="0" t="s">
        <v>2721</v>
      </c>
      <c r="D102" s="0" t="s">
        <v>2752</v>
      </c>
      <c r="E102" s="0" t="s">
        <v>2753</v>
      </c>
      <c r="F102" s="0" t="s">
        <v>2514</v>
      </c>
      <c r="G102" s="0" t="s">
        <v>2754</v>
      </c>
    </row>
    <row customHeight="1" ht="11.25">
      <c r="A103" s="1850" t="s">
        <v>16</v>
      </c>
      <c r="B103" s="0" t="s">
        <v>2720</v>
      </c>
      <c r="C103" s="0" t="s">
        <v>2721</v>
      </c>
      <c r="D103" s="0" t="s">
        <v>2720</v>
      </c>
      <c r="E103" s="0" t="s">
        <v>2721</v>
      </c>
      <c r="F103" s="0" t="s">
        <v>2521</v>
      </c>
      <c r="G103" s="0" t="s">
        <v>2755</v>
      </c>
    </row>
    <row customHeight="1" ht="11.25">
      <c r="A104" s="1850" t="s">
        <v>16</v>
      </c>
      <c r="B104" s="0" t="s">
        <v>2720</v>
      </c>
      <c r="C104" s="0" t="s">
        <v>2721</v>
      </c>
      <c r="D104" s="0" t="s">
        <v>2756</v>
      </c>
      <c r="E104" s="0" t="s">
        <v>2757</v>
      </c>
      <c r="F104" s="0" t="s">
        <v>2514</v>
      </c>
      <c r="G104" s="0" t="s">
        <v>2758</v>
      </c>
    </row>
    <row customHeight="1" ht="11.25">
      <c r="A105" s="1850" t="s">
        <v>16</v>
      </c>
      <c r="B105" s="0" t="s">
        <v>2720</v>
      </c>
      <c r="C105" s="0" t="s">
        <v>2721</v>
      </c>
      <c r="D105" s="0" t="s">
        <v>2759</v>
      </c>
      <c r="E105" s="0" t="s">
        <v>2760</v>
      </c>
      <c r="F105" s="0" t="s">
        <v>2514</v>
      </c>
      <c r="G105" s="0" t="s">
        <v>2761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656AF-8112-8069-30C1-0.0F693DAF}"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2762</v>
      </c>
      <c r="B1" s="65" t="s">
        <v>2763</v>
      </c>
      <c r="C1" s="65" t="s">
        <v>2764</v>
      </c>
      <c r="D1" s="65" t="s">
        <v>2765</v>
      </c>
      <c r="E1" s="65" t="s">
        <v>2766</v>
      </c>
      <c r="F1" s="65" t="s">
        <v>2767</v>
      </c>
      <c r="G1" s="65" t="s">
        <v>2768</v>
      </c>
      <c r="H1" s="65" t="s">
        <v>2769</v>
      </c>
      <c r="I1" s="65" t="s">
        <v>2770</v>
      </c>
    </row>
    <row customHeight="1" ht="11.25">
      <c r="A2" s="1693" t="s">
        <v>99</v>
      </c>
      <c r="B2" s="0" t="s">
        <v>2771</v>
      </c>
      <c r="C2" s="0" t="s">
        <v>2772</v>
      </c>
      <c r="D2" s="0" t="s">
        <v>1010</v>
      </c>
      <c r="E2" s="0" t="s">
        <v>1011</v>
      </c>
      <c r="F2" s="0" t="s">
        <v>2773</v>
      </c>
      <c r="G2" s="0" t="s">
        <v>1013</v>
      </c>
      <c r="H2" s="0" t="s">
        <v>1014</v>
      </c>
      <c r="I2" s="0" t="s">
        <v>1015</v>
      </c>
    </row>
    <row customHeight="1" ht="11.25">
      <c r="A3" s="1693" t="s">
        <v>109</v>
      </c>
      <c r="B3" s="0" t="s">
        <v>2771</v>
      </c>
      <c r="C3" s="0" t="s">
        <v>2772</v>
      </c>
      <c r="D3" s="0" t="s">
        <v>1010</v>
      </c>
      <c r="E3" s="0" t="s">
        <v>1011</v>
      </c>
      <c r="F3" s="0" t="s">
        <v>2774</v>
      </c>
      <c r="G3" s="0" t="s">
        <v>1013</v>
      </c>
      <c r="H3" s="0" t="s">
        <v>1014</v>
      </c>
      <c r="I3" s="0" t="s">
        <v>1015</v>
      </c>
    </row>
    <row customHeight="1" ht="11.25">
      <c r="A4" s="1693" t="s">
        <v>90</v>
      </c>
      <c r="B4" s="0" t="s">
        <v>2775</v>
      </c>
      <c r="C4" s="0" t="s">
        <v>22</v>
      </c>
      <c r="D4" s="0" t="s">
        <v>2776</v>
      </c>
      <c r="E4" s="0" t="s">
        <v>2777</v>
      </c>
      <c r="F4" s="0" t="s">
        <v>22</v>
      </c>
      <c r="G4" s="0" t="s">
        <v>22</v>
      </c>
      <c r="H4" s="0" t="s">
        <v>22</v>
      </c>
      <c r="I4" s="0" t="s">
        <v>22</v>
      </c>
    </row>
    <row customHeight="1" ht="11.25">
      <c r="A5" s="1693" t="s">
        <v>91</v>
      </c>
      <c r="B5" s="0" t="s">
        <v>1021</v>
      </c>
      <c r="C5" s="0" t="s">
        <v>2778</v>
      </c>
      <c r="D5" s="0" t="s">
        <v>1022</v>
      </c>
      <c r="E5" s="0" t="s">
        <v>1023</v>
      </c>
      <c r="F5" s="0" t="s">
        <v>2779</v>
      </c>
      <c r="G5" s="0" t="s">
        <v>1013</v>
      </c>
      <c r="H5" s="0" t="s">
        <v>1025</v>
      </c>
      <c r="I5" s="0" t="s">
        <v>1022</v>
      </c>
    </row>
    <row customHeight="1" ht="11.25">
      <c r="A6" s="1693" t="s">
        <v>110</v>
      </c>
      <c r="B6" s="0" t="s">
        <v>1021</v>
      </c>
      <c r="C6" s="0" t="s">
        <v>2778</v>
      </c>
      <c r="D6" s="0" t="s">
        <v>1022</v>
      </c>
      <c r="E6" s="0" t="s">
        <v>1023</v>
      </c>
      <c r="F6" s="0" t="s">
        <v>1024</v>
      </c>
      <c r="G6" s="0" t="s">
        <v>1013</v>
      </c>
      <c r="H6" s="0" t="s">
        <v>1025</v>
      </c>
      <c r="I6" s="0" t="s">
        <v>1022</v>
      </c>
    </row>
    <row customHeight="1" ht="11.25">
      <c r="A7" s="1693" t="s">
        <v>92</v>
      </c>
      <c r="B7" s="0" t="s">
        <v>1006</v>
      </c>
      <c r="C7" s="0" t="s">
        <v>2780</v>
      </c>
      <c r="D7" s="0" t="s">
        <v>1010</v>
      </c>
      <c r="E7" s="0" t="s">
        <v>1011</v>
      </c>
      <c r="F7" s="0" t="s">
        <v>1012</v>
      </c>
      <c r="G7" s="0" t="s">
        <v>1013</v>
      </c>
      <c r="H7" s="0" t="s">
        <v>1014</v>
      </c>
      <c r="I7" s="0" t="s">
        <v>1015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6FE56-F95D-5942-5307-0.244FE97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B5B8E-D407-214E-399C-0.7A7DAFA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353</v>
      </c>
      <c r="I1" s="2239"/>
      <c r="J1" s="2239"/>
      <c r="K1" s="2239"/>
      <c r="L1" s="2239"/>
      <c r="M1" s="2239"/>
      <c r="N1" s="2239"/>
      <c r="O1" s="2239"/>
      <c r="P1" s="2239"/>
      <c r="Q1" s="2239"/>
      <c r="R1" s="2239"/>
      <c r="T1" s="2239" t="s">
        <v>354</v>
      </c>
      <c r="U1" s="2239"/>
      <c r="V1" s="2239"/>
      <c r="X1" s="2239" t="s">
        <v>355</v>
      </c>
      <c r="Y1" s="2239"/>
      <c r="Z1" s="2239"/>
      <c r="AB1" s="2239" t="s">
        <v>356</v>
      </c>
      <c r="AC1" s="2239"/>
      <c r="AT1" s="450" t="s">
        <v>14</v>
      </c>
    </row>
    <row customHeight="1" ht="14.25" hidden="1">
      <c r="AT2" s="450">
        <v>0</v>
      </c>
    </row>
    <row s="1616" customFormat="1" customHeight="1" ht="5.25">
      <c r="C3" s="704"/>
      <c r="D3" s="705"/>
      <c r="E3" s="705"/>
      <c r="F3" s="705"/>
      <c r="G3" s="705"/>
      <c r="H3" s="705" t="s">
        <v>357</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1. Информация об организации, осуществляющей холодное водоснабжение (общая информация)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АО "Водоканал"</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301</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302</v>
      </c>
      <c r="AF7" s="2245" t="s">
        <v>302</v>
      </c>
      <c r="AG7" s="2245" t="s">
        <v>302</v>
      </c>
      <c r="AH7" s="2245" t="s">
        <v>302</v>
      </c>
      <c r="AT7" s="450">
        <v>14</v>
      </c>
    </row>
    <row customHeight="1" ht="27.299999999999997">
      <c r="C8" s="453"/>
      <c r="D8" s="2149" t="s">
        <v>88</v>
      </c>
      <c r="E8" s="2245" t="str">
        <f>"Наименование "&amp;IF(TEMPLATE_SPHERE&lt;&gt;"HEAT","централизованной ","")&amp;"системы "&amp;TEMPLATE_SPHERE_RUS</f>
        <v>Наименование централизованной системы холодного водоснабжения</v>
      </c>
      <c r="F8" s="2245" t="str">
        <f>IF(TEMPLATE_SPHERE&lt;&gt;"HEAT","Регулируемый вид деятельности","Вид регулируемой деятельности")</f>
        <v>Регулируемый вид деятельности</v>
      </c>
      <c r="G8" s="831"/>
      <c r="H8" s="2246" t="s">
        <v>358</v>
      </c>
      <c r="I8" s="2248" t="s">
        <v>359</v>
      </c>
      <c r="J8" s="2245" t="s">
        <v>360</v>
      </c>
      <c r="K8" s="2245"/>
      <c r="L8" s="2245"/>
      <c r="M8" s="2240"/>
      <c r="N8" s="2245" t="s">
        <v>361</v>
      </c>
      <c r="O8" s="2245"/>
      <c r="P8" s="2245" t="s">
        <v>362</v>
      </c>
      <c r="Q8" s="2245"/>
      <c r="R8" s="2252" t="s">
        <v>363</v>
      </c>
      <c r="S8" s="827"/>
      <c r="T8" s="2250" t="s">
        <v>364</v>
      </c>
      <c r="U8" s="2250" t="s">
        <v>365</v>
      </c>
      <c r="V8" s="2250" t="s">
        <v>366</v>
      </c>
      <c r="W8" s="829"/>
      <c r="X8" s="2250" t="s">
        <v>367</v>
      </c>
      <c r="Y8" s="2250" t="s">
        <v>368</v>
      </c>
      <c r="Z8" s="2250" t="s">
        <v>369</v>
      </c>
      <c r="AA8" s="829"/>
      <c r="AB8" s="2250" t="s">
        <v>370</v>
      </c>
      <c r="AC8" s="2250" t="s">
        <v>363</v>
      </c>
      <c r="AD8" s="829"/>
      <c r="AE8" s="2245"/>
      <c r="AF8" s="2245"/>
      <c r="AG8" s="2245"/>
      <c r="AH8" s="2245"/>
      <c r="AT8" s="450">
        <v>26</v>
      </c>
    </row>
    <row customHeight="1" ht="46.199999999999996">
      <c r="C9" s="453"/>
      <c r="D9" s="2149"/>
      <c r="E9" s="2245"/>
      <c r="F9" s="2245"/>
      <c r="G9" s="832"/>
      <c r="H9" s="2247"/>
      <c r="I9" s="2249"/>
      <c r="J9" s="428" t="s">
        <v>371</v>
      </c>
      <c r="K9" s="428" t="s">
        <v>372</v>
      </c>
      <c r="L9" s="428" t="s">
        <v>373</v>
      </c>
      <c r="M9" s="434" t="s">
        <v>374</v>
      </c>
      <c r="N9" s="428" t="s">
        <v>375</v>
      </c>
      <c r="O9" s="428" t="s">
        <v>374</v>
      </c>
      <c r="P9" s="428" t="s">
        <v>376</v>
      </c>
      <c r="Q9" s="428" t="s">
        <v>374</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377</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99</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378</v>
      </c>
      <c r="AF12" s="2243" t="s">
        <v>379</v>
      </c>
      <c r="AG12" s="2243" t="s">
        <v>380</v>
      </c>
      <c r="AH12" s="2243" t="s">
        <v>381</v>
      </c>
      <c r="AI12" s="450"/>
      <c r="AM12" s="514"/>
      <c r="AP12" s="503" t="s">
        <v>382</v>
      </c>
      <c r="AQ12" s="503" t="s">
        <v>382</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FE202-98B2-5649-E295-0.4BDD07C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133</v>
      </c>
      <c r="B1" s="186" t="s">
        <v>2781</v>
      </c>
    </row>
    <row customHeight="1" ht="11.25">
      <c r="A2" s="67" t="s">
        <v>98</v>
      </c>
      <c r="B2" s="67" t="s">
        <v>2782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4B45D-7575-A5BE-8222-0.CDA6691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2783</v>
      </c>
      <c r="B1" s="838" t="s">
        <v>2784</v>
      </c>
    </row>
    <row customHeight="1" ht="11.25">
      <c r="A2" s="838">
        <v>4213775</v>
      </c>
      <c r="B2" s="838" t="s">
        <v>1280</v>
      </c>
    </row>
    <row customHeight="1" ht="11.25">
      <c r="A3" s="838">
        <v>4213784</v>
      </c>
      <c r="B3" s="838" t="s">
        <v>1315</v>
      </c>
    </row>
    <row customHeight="1" ht="11.25">
      <c r="A4" s="838">
        <v>4213781</v>
      </c>
      <c r="B4" s="838" t="s">
        <v>1308</v>
      </c>
    </row>
    <row customHeight="1" ht="11.25">
      <c r="A5" s="838">
        <v>4213776</v>
      </c>
      <c r="B5" s="838" t="s">
        <v>169</v>
      </c>
    </row>
    <row customHeight="1" ht="11.25">
      <c r="A6" s="838">
        <v>4213777</v>
      </c>
      <c r="B6" s="838" t="s">
        <v>175</v>
      </c>
    </row>
    <row customHeight="1" ht="11.25">
      <c r="A7" s="838">
        <v>4213778</v>
      </c>
      <c r="B7" s="838" t="s">
        <v>181</v>
      </c>
    </row>
    <row customHeight="1" ht="11.25">
      <c r="A8" s="838">
        <v>4213780</v>
      </c>
      <c r="B8" s="838" t="s">
        <v>187</v>
      </c>
    </row>
    <row customHeight="1" ht="11.25">
      <c r="A9" s="838">
        <v>4213779</v>
      </c>
      <c r="B9" s="838" t="s">
        <v>1448</v>
      </c>
    </row>
    <row customHeight="1" ht="11.25">
      <c r="A10" s="838">
        <v>4213783</v>
      </c>
      <c r="B10" s="838" t="s">
        <v>1464</v>
      </c>
    </row>
    <row customHeight="1" ht="11.25">
      <c r="A11" s="838">
        <v>4213782</v>
      </c>
      <c r="B11" s="838"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A53F3-5FDD-238C-1D93-0.84D0C9E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2783</v>
      </c>
      <c r="B1" s="65" t="s">
        <v>2785</v>
      </c>
    </row>
    <row customHeight="1" ht="11.25">
      <c r="A2" s="838" t="s">
        <v>117</v>
      </c>
      <c r="B2" s="0" t="s">
        <v>1563</v>
      </c>
    </row>
    <row customHeight="1" ht="11.25">
      <c r="A3" s="1693" t="s">
        <v>2786</v>
      </c>
      <c r="B3" s="0" t="s">
        <v>1573</v>
      </c>
    </row>
    <row customHeight="1" ht="11.25">
      <c r="A4" s="1693" t="s">
        <v>2787</v>
      </c>
      <c r="B4" s="0" t="s">
        <v>1582</v>
      </c>
    </row>
    <row customHeight="1" ht="11.25">
      <c r="A5" s="1693" t="s">
        <v>2788</v>
      </c>
      <c r="B5" s="0" t="s">
        <v>1591</v>
      </c>
    </row>
    <row customHeight="1" ht="11.25">
      <c r="A6" s="1693" t="s">
        <v>2789</v>
      </c>
      <c r="B6" s="0" t="s">
        <v>1597</v>
      </c>
    </row>
    <row customHeight="1" ht="11.25">
      <c r="A7" s="1693" t="s">
        <v>2790</v>
      </c>
      <c r="B7" s="0" t="s">
        <v>1605</v>
      </c>
    </row>
    <row customHeight="1" ht="11.25">
      <c r="A8" s="1693" t="s">
        <v>123</v>
      </c>
      <c r="B8" s="0" t="s">
        <v>1612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FC216-01DB-910C-75A1-0.F6E272C4}" mc:Ignorable="x14ac xr xr2 xr3">
  <sheetPr>
    <tabColor rgb="FFFFCC99"/>
  </sheetPr>
  <dimension ref="A1:G105"/>
  <sheetViews>
    <sheetView topLeftCell="A1" showGridLines="0" workbookViewId="0">
      <selection activeCell="A1" sqref="A1"/>
    </sheetView>
  </sheetViews>
  <sheetFormatPr customHeight="1" defaultRowHeight="11.25"/>
  <sheetData>
    <row customHeight="1" ht="11.25">
      <c r="A1" s="376" t="s">
        <v>2502</v>
      </c>
      <c r="B1" s="376" t="s">
        <v>2503</v>
      </c>
      <c r="C1" s="376" t="s">
        <v>2504</v>
      </c>
      <c r="D1" s="376" t="s">
        <v>2505</v>
      </c>
      <c r="E1" s="0" t="s">
        <v>2506</v>
      </c>
      <c r="F1" s="0" t="s">
        <v>2507</v>
      </c>
      <c r="G1" s="0" t="s">
        <v>2508</v>
      </c>
    </row>
    <row customHeight="1" ht="11.25">
      <c r="A2" s="0" t="s">
        <v>16</v>
      </c>
      <c r="B2" s="0" t="s">
        <v>100</v>
      </c>
      <c r="C2" s="0" t="s">
        <v>101</v>
      </c>
      <c r="D2" s="0" t="s">
        <v>100</v>
      </c>
      <c r="E2" s="0" t="s">
        <v>101</v>
      </c>
      <c r="F2" s="0" t="s">
        <v>2509</v>
      </c>
      <c r="G2" s="0" t="s">
        <v>99</v>
      </c>
    </row>
    <row customHeight="1" ht="11.25">
      <c r="A3" s="0" t="s">
        <v>16</v>
      </c>
      <c r="B3" s="0" t="s">
        <v>2510</v>
      </c>
      <c r="C3" s="0" t="s">
        <v>2511</v>
      </c>
      <c r="D3" s="0" t="s">
        <v>2512</v>
      </c>
      <c r="E3" s="0" t="s">
        <v>2513</v>
      </c>
      <c r="F3" s="0" t="s">
        <v>2514</v>
      </c>
      <c r="G3" s="0" t="s">
        <v>109</v>
      </c>
    </row>
    <row customHeight="1" ht="11.25">
      <c r="A4" s="0" t="s">
        <v>16</v>
      </c>
      <c r="B4" s="0" t="s">
        <v>2510</v>
      </c>
      <c r="C4" s="0" t="s">
        <v>2511</v>
      </c>
      <c r="D4" s="0" t="s">
        <v>2515</v>
      </c>
      <c r="E4" s="0" t="s">
        <v>2516</v>
      </c>
      <c r="F4" s="0" t="s">
        <v>2514</v>
      </c>
      <c r="G4" s="0" t="s">
        <v>90</v>
      </c>
    </row>
    <row customHeight="1" ht="11.25">
      <c r="A5" s="0" t="s">
        <v>16</v>
      </c>
      <c r="B5" s="0" t="s">
        <v>2510</v>
      </c>
      <c r="C5" s="0" t="s">
        <v>2511</v>
      </c>
      <c r="D5" s="0" t="s">
        <v>2517</v>
      </c>
      <c r="E5" s="0" t="s">
        <v>2518</v>
      </c>
      <c r="F5" s="0" t="s">
        <v>2514</v>
      </c>
      <c r="G5" s="0" t="s">
        <v>91</v>
      </c>
    </row>
    <row customHeight="1" ht="11.25">
      <c r="A6" s="0" t="s">
        <v>16</v>
      </c>
      <c r="B6" s="0" t="s">
        <v>2510</v>
      </c>
      <c r="C6" s="0" t="s">
        <v>2511</v>
      </c>
      <c r="D6" s="0" t="s">
        <v>2519</v>
      </c>
      <c r="E6" s="0" t="s">
        <v>2520</v>
      </c>
      <c r="F6" s="0" t="s">
        <v>2514</v>
      </c>
      <c r="G6" s="0" t="s">
        <v>110</v>
      </c>
    </row>
    <row customHeight="1" ht="11.25">
      <c r="A7" s="0" t="s">
        <v>16</v>
      </c>
      <c r="B7" s="0" t="s">
        <v>2510</v>
      </c>
      <c r="C7" s="0" t="s">
        <v>2511</v>
      </c>
      <c r="D7" s="0" t="s">
        <v>2510</v>
      </c>
      <c r="E7" s="0" t="s">
        <v>2511</v>
      </c>
      <c r="F7" s="0" t="s">
        <v>2521</v>
      </c>
      <c r="G7" s="0" t="s">
        <v>92</v>
      </c>
    </row>
    <row customHeight="1" ht="11.25">
      <c r="A8" s="0" t="s">
        <v>16</v>
      </c>
      <c r="B8" s="0" t="s">
        <v>2510</v>
      </c>
      <c r="C8" s="0" t="s">
        <v>2511</v>
      </c>
      <c r="D8" s="0" t="s">
        <v>2522</v>
      </c>
      <c r="E8" s="0" t="s">
        <v>2523</v>
      </c>
      <c r="F8" s="0" t="s">
        <v>2514</v>
      </c>
      <c r="G8" s="0" t="s">
        <v>93</v>
      </c>
    </row>
    <row customHeight="1" ht="11.25">
      <c r="A9" s="0" t="s">
        <v>16</v>
      </c>
      <c r="B9" s="0" t="s">
        <v>2510</v>
      </c>
      <c r="C9" s="0" t="s">
        <v>2511</v>
      </c>
      <c r="D9" s="0" t="s">
        <v>2524</v>
      </c>
      <c r="E9" s="0" t="s">
        <v>2525</v>
      </c>
      <c r="F9" s="0" t="s">
        <v>2514</v>
      </c>
      <c r="G9" s="0" t="s">
        <v>111</v>
      </c>
    </row>
    <row customHeight="1" ht="11.25">
      <c r="A10" s="0" t="s">
        <v>16</v>
      </c>
      <c r="B10" s="0" t="s">
        <v>2510</v>
      </c>
      <c r="C10" s="0" t="s">
        <v>2511</v>
      </c>
      <c r="D10" s="0" t="s">
        <v>2526</v>
      </c>
      <c r="E10" s="0" t="s">
        <v>2527</v>
      </c>
      <c r="F10" s="0" t="s">
        <v>2514</v>
      </c>
      <c r="G10" s="0" t="s">
        <v>151</v>
      </c>
    </row>
    <row customHeight="1" ht="11.25">
      <c r="A11" s="0" t="s">
        <v>16</v>
      </c>
      <c r="B11" s="0" t="s">
        <v>2510</v>
      </c>
      <c r="C11" s="0" t="s">
        <v>2511</v>
      </c>
      <c r="D11" s="0" t="s">
        <v>2528</v>
      </c>
      <c r="E11" s="0" t="s">
        <v>2529</v>
      </c>
      <c r="F11" s="0" t="s">
        <v>2514</v>
      </c>
      <c r="G11" s="0" t="s">
        <v>152</v>
      </c>
    </row>
    <row customHeight="1" ht="11.25">
      <c r="A12" s="0" t="s">
        <v>16</v>
      </c>
      <c r="B12" s="0" t="s">
        <v>2510</v>
      </c>
      <c r="C12" s="0" t="s">
        <v>2511</v>
      </c>
      <c r="D12" s="0" t="s">
        <v>2530</v>
      </c>
      <c r="E12" s="0" t="s">
        <v>2531</v>
      </c>
      <c r="F12" s="0" t="s">
        <v>2514</v>
      </c>
      <c r="G12" s="0" t="s">
        <v>153</v>
      </c>
    </row>
    <row customHeight="1" ht="11.25">
      <c r="A13" s="0" t="s">
        <v>16</v>
      </c>
      <c r="B13" s="0" t="s">
        <v>2510</v>
      </c>
      <c r="C13" s="0" t="s">
        <v>2511</v>
      </c>
      <c r="D13" s="0" t="s">
        <v>2532</v>
      </c>
      <c r="E13" s="0" t="s">
        <v>2533</v>
      </c>
      <c r="F13" s="0" t="s">
        <v>2514</v>
      </c>
      <c r="G13" s="0" t="s">
        <v>154</v>
      </c>
    </row>
    <row customHeight="1" ht="11.25">
      <c r="A14" s="0" t="s">
        <v>16</v>
      </c>
      <c r="B14" s="0" t="s">
        <v>2510</v>
      </c>
      <c r="C14" s="0" t="s">
        <v>2511</v>
      </c>
      <c r="D14" s="0" t="s">
        <v>2534</v>
      </c>
      <c r="E14" s="0" t="s">
        <v>2535</v>
      </c>
      <c r="F14" s="0" t="s">
        <v>2514</v>
      </c>
      <c r="G14" s="0" t="s">
        <v>155</v>
      </c>
    </row>
    <row customHeight="1" ht="11.25">
      <c r="A15" s="0" t="s">
        <v>16</v>
      </c>
      <c r="B15" s="0" t="s">
        <v>2510</v>
      </c>
      <c r="C15" s="0" t="s">
        <v>2511</v>
      </c>
      <c r="D15" s="0" t="s">
        <v>2536</v>
      </c>
      <c r="E15" s="0" t="s">
        <v>2537</v>
      </c>
      <c r="F15" s="0" t="s">
        <v>2514</v>
      </c>
      <c r="G15" s="0" t="s">
        <v>156</v>
      </c>
    </row>
    <row customHeight="1" ht="11.25">
      <c r="A16" s="0" t="s">
        <v>16</v>
      </c>
      <c r="B16" s="0" t="s">
        <v>2538</v>
      </c>
      <c r="C16" s="0" t="s">
        <v>2539</v>
      </c>
      <c r="D16" s="0" t="s">
        <v>2540</v>
      </c>
      <c r="E16" s="0" t="s">
        <v>2541</v>
      </c>
      <c r="F16" s="0" t="s">
        <v>2514</v>
      </c>
      <c r="G16" s="0" t="s">
        <v>1524</v>
      </c>
    </row>
    <row customHeight="1" ht="11.25">
      <c r="A17" s="0" t="s">
        <v>16</v>
      </c>
      <c r="B17" s="0" t="s">
        <v>2538</v>
      </c>
      <c r="C17" s="0" t="s">
        <v>2539</v>
      </c>
      <c r="D17" s="0" t="s">
        <v>2542</v>
      </c>
      <c r="E17" s="0" t="s">
        <v>2543</v>
      </c>
      <c r="F17" s="0" t="s">
        <v>2514</v>
      </c>
      <c r="G17" s="0" t="s">
        <v>1530</v>
      </c>
    </row>
    <row customHeight="1" ht="11.25">
      <c r="A18" s="0" t="s">
        <v>16</v>
      </c>
      <c r="B18" s="0" t="s">
        <v>2538</v>
      </c>
      <c r="C18" s="0" t="s">
        <v>2539</v>
      </c>
      <c r="D18" s="0" t="s">
        <v>2538</v>
      </c>
      <c r="E18" s="0" t="s">
        <v>2539</v>
      </c>
      <c r="F18" s="0" t="s">
        <v>2521</v>
      </c>
      <c r="G18" s="0" t="s">
        <v>1542</v>
      </c>
    </row>
    <row customHeight="1" ht="11.25">
      <c r="A19" s="0" t="s">
        <v>16</v>
      </c>
      <c r="B19" s="0" t="s">
        <v>2538</v>
      </c>
      <c r="C19" s="0" t="s">
        <v>2539</v>
      </c>
      <c r="D19" s="0" t="s">
        <v>2544</v>
      </c>
      <c r="E19" s="0" t="s">
        <v>2545</v>
      </c>
      <c r="F19" s="0" t="s">
        <v>2514</v>
      </c>
      <c r="G19" s="0" t="s">
        <v>1556</v>
      </c>
    </row>
    <row customHeight="1" ht="11.25">
      <c r="A20" s="0" t="s">
        <v>16</v>
      </c>
      <c r="B20" s="0" t="s">
        <v>2538</v>
      </c>
      <c r="C20" s="0" t="s">
        <v>2539</v>
      </c>
      <c r="D20" s="0" t="s">
        <v>2546</v>
      </c>
      <c r="E20" s="0" t="s">
        <v>2547</v>
      </c>
      <c r="F20" s="0" t="s">
        <v>2514</v>
      </c>
      <c r="G20" s="0" t="s">
        <v>1568</v>
      </c>
    </row>
    <row customHeight="1" ht="11.25">
      <c r="A21" s="0" t="s">
        <v>16</v>
      </c>
      <c r="B21" s="0" t="s">
        <v>2538</v>
      </c>
      <c r="C21" s="0" t="s">
        <v>2539</v>
      </c>
      <c r="D21" s="0" t="s">
        <v>2548</v>
      </c>
      <c r="E21" s="0" t="s">
        <v>2549</v>
      </c>
      <c r="F21" s="0" t="s">
        <v>2514</v>
      </c>
      <c r="G21" s="0" t="s">
        <v>1577</v>
      </c>
    </row>
    <row customHeight="1" ht="11.25">
      <c r="A22" s="0" t="s">
        <v>16</v>
      </c>
      <c r="B22" s="0" t="s">
        <v>2538</v>
      </c>
      <c r="C22" s="0" t="s">
        <v>2539</v>
      </c>
      <c r="D22" s="0" t="s">
        <v>2550</v>
      </c>
      <c r="E22" s="0" t="s">
        <v>2551</v>
      </c>
      <c r="F22" s="0" t="s">
        <v>2514</v>
      </c>
      <c r="G22" s="0" t="s">
        <v>1593</v>
      </c>
    </row>
    <row customHeight="1" ht="11.25">
      <c r="A23" s="0" t="s">
        <v>16</v>
      </c>
      <c r="B23" s="0" t="s">
        <v>2552</v>
      </c>
      <c r="C23" s="0" t="s">
        <v>2553</v>
      </c>
      <c r="D23" s="0" t="s">
        <v>2552</v>
      </c>
      <c r="E23" s="0" t="s">
        <v>2553</v>
      </c>
      <c r="F23" s="0" t="s">
        <v>2554</v>
      </c>
      <c r="G23" s="0" t="s">
        <v>1600</v>
      </c>
    </row>
    <row customHeight="1" ht="11.25">
      <c r="A24" s="0" t="s">
        <v>16</v>
      </c>
      <c r="B24" s="0" t="s">
        <v>2555</v>
      </c>
      <c r="C24" s="0" t="s">
        <v>2556</v>
      </c>
      <c r="D24" s="0" t="s">
        <v>2555</v>
      </c>
      <c r="E24" s="0" t="s">
        <v>2556</v>
      </c>
      <c r="F24" s="0" t="s">
        <v>2554</v>
      </c>
      <c r="G24" s="0" t="s">
        <v>1608</v>
      </c>
    </row>
    <row customHeight="1" ht="11.25">
      <c r="A25" s="0" t="s">
        <v>16</v>
      </c>
      <c r="B25" s="0" t="s">
        <v>2557</v>
      </c>
      <c r="C25" s="0" t="s">
        <v>2558</v>
      </c>
      <c r="D25" s="0" t="s">
        <v>2559</v>
      </c>
      <c r="E25" s="0" t="s">
        <v>2560</v>
      </c>
      <c r="F25" s="0" t="s">
        <v>2514</v>
      </c>
      <c r="G25" s="0" t="s">
        <v>1615</v>
      </c>
    </row>
    <row customHeight="1" ht="11.25">
      <c r="A26" s="0" t="s">
        <v>16</v>
      </c>
      <c r="B26" s="0" t="s">
        <v>2557</v>
      </c>
      <c r="C26" s="0" t="s">
        <v>2558</v>
      </c>
      <c r="D26" s="0" t="s">
        <v>2561</v>
      </c>
      <c r="E26" s="0" t="s">
        <v>2562</v>
      </c>
      <c r="F26" s="0" t="s">
        <v>2514</v>
      </c>
      <c r="G26" s="0" t="s">
        <v>1619</v>
      </c>
    </row>
    <row customHeight="1" ht="11.25">
      <c r="A27" s="0" t="s">
        <v>16</v>
      </c>
      <c r="B27" s="0" t="s">
        <v>2557</v>
      </c>
      <c r="C27" s="0" t="s">
        <v>2558</v>
      </c>
      <c r="D27" s="0" t="s">
        <v>2563</v>
      </c>
      <c r="E27" s="0" t="s">
        <v>2564</v>
      </c>
      <c r="F27" s="0" t="s">
        <v>2514</v>
      </c>
      <c r="G27" s="0" t="s">
        <v>1624</v>
      </c>
    </row>
    <row customHeight="1" ht="11.25">
      <c r="A28" s="0" t="s">
        <v>16</v>
      </c>
      <c r="B28" s="0" t="s">
        <v>2557</v>
      </c>
      <c r="C28" s="0" t="s">
        <v>2558</v>
      </c>
      <c r="D28" s="0" t="s">
        <v>2565</v>
      </c>
      <c r="E28" s="0" t="s">
        <v>2566</v>
      </c>
      <c r="F28" s="0" t="s">
        <v>2514</v>
      </c>
      <c r="G28" s="0" t="s">
        <v>1632</v>
      </c>
    </row>
    <row customHeight="1" ht="11.25">
      <c r="A29" s="0" t="s">
        <v>16</v>
      </c>
      <c r="B29" s="0" t="s">
        <v>2557</v>
      </c>
      <c r="C29" s="0" t="s">
        <v>2558</v>
      </c>
      <c r="D29" s="0" t="s">
        <v>2567</v>
      </c>
      <c r="E29" s="0" t="s">
        <v>2568</v>
      </c>
      <c r="F29" s="0" t="s">
        <v>2514</v>
      </c>
      <c r="G29" s="0" t="s">
        <v>1634</v>
      </c>
    </row>
    <row customHeight="1" ht="11.25">
      <c r="A30" s="0" t="s">
        <v>16</v>
      </c>
      <c r="B30" s="0" t="s">
        <v>2557</v>
      </c>
      <c r="C30" s="0" t="s">
        <v>2558</v>
      </c>
      <c r="D30" s="0" t="s">
        <v>2569</v>
      </c>
      <c r="E30" s="0" t="s">
        <v>2570</v>
      </c>
      <c r="F30" s="0" t="s">
        <v>2514</v>
      </c>
      <c r="G30" s="0" t="s">
        <v>1637</v>
      </c>
    </row>
    <row customHeight="1" ht="11.25">
      <c r="A31" s="0" t="s">
        <v>16</v>
      </c>
      <c r="B31" s="0" t="s">
        <v>2557</v>
      </c>
      <c r="C31" s="0" t="s">
        <v>2558</v>
      </c>
      <c r="D31" s="0" t="s">
        <v>2557</v>
      </c>
      <c r="E31" s="0" t="s">
        <v>2558</v>
      </c>
      <c r="F31" s="0" t="s">
        <v>2521</v>
      </c>
      <c r="G31" s="0" t="s">
        <v>1643</v>
      </c>
    </row>
    <row customHeight="1" ht="11.25">
      <c r="A32" s="0" t="s">
        <v>16</v>
      </c>
      <c r="B32" s="0" t="s">
        <v>2557</v>
      </c>
      <c r="C32" s="0" t="s">
        <v>2558</v>
      </c>
      <c r="D32" s="0" t="s">
        <v>2571</v>
      </c>
      <c r="E32" s="0" t="s">
        <v>2572</v>
      </c>
      <c r="F32" s="0" t="s">
        <v>2514</v>
      </c>
      <c r="G32" s="0" t="s">
        <v>1645</v>
      </c>
    </row>
    <row customHeight="1" ht="11.25">
      <c r="A33" s="0" t="s">
        <v>16</v>
      </c>
      <c r="B33" s="0" t="s">
        <v>2557</v>
      </c>
      <c r="C33" s="0" t="s">
        <v>2558</v>
      </c>
      <c r="D33" s="0" t="s">
        <v>2573</v>
      </c>
      <c r="E33" s="0" t="s">
        <v>2574</v>
      </c>
      <c r="F33" s="0" t="s">
        <v>2514</v>
      </c>
      <c r="G33" s="0" t="s">
        <v>1647</v>
      </c>
    </row>
    <row customHeight="1" ht="11.25">
      <c r="A34" s="0" t="s">
        <v>16</v>
      </c>
      <c r="B34" s="0" t="s">
        <v>2557</v>
      </c>
      <c r="C34" s="0" t="s">
        <v>2558</v>
      </c>
      <c r="D34" s="0" t="s">
        <v>2575</v>
      </c>
      <c r="E34" s="0" t="s">
        <v>2576</v>
      </c>
      <c r="F34" s="0" t="s">
        <v>2514</v>
      </c>
      <c r="G34" s="0" t="s">
        <v>1649</v>
      </c>
    </row>
    <row customHeight="1" ht="11.25">
      <c r="A35" s="0" t="s">
        <v>16</v>
      </c>
      <c r="B35" s="0" t="s">
        <v>2557</v>
      </c>
      <c r="C35" s="0" t="s">
        <v>2558</v>
      </c>
      <c r="D35" s="0" t="s">
        <v>2577</v>
      </c>
      <c r="E35" s="0" t="s">
        <v>2578</v>
      </c>
      <c r="F35" s="0" t="s">
        <v>2514</v>
      </c>
      <c r="G35" s="0" t="s">
        <v>1654</v>
      </c>
    </row>
    <row customHeight="1" ht="11.25">
      <c r="A36" s="0" t="s">
        <v>16</v>
      </c>
      <c r="B36" s="0" t="s">
        <v>2579</v>
      </c>
      <c r="C36" s="0" t="s">
        <v>2580</v>
      </c>
      <c r="D36" s="0" t="s">
        <v>2581</v>
      </c>
      <c r="E36" s="0" t="s">
        <v>2582</v>
      </c>
      <c r="F36" s="0" t="s">
        <v>2514</v>
      </c>
      <c r="G36" s="0" t="s">
        <v>1659</v>
      </c>
    </row>
    <row customHeight="1" ht="11.25">
      <c r="A37" s="0" t="s">
        <v>16</v>
      </c>
      <c r="B37" s="0" t="s">
        <v>2579</v>
      </c>
      <c r="C37" s="0" t="s">
        <v>2580</v>
      </c>
      <c r="D37" s="0" t="s">
        <v>2583</v>
      </c>
      <c r="E37" s="0" t="s">
        <v>2584</v>
      </c>
      <c r="F37" s="0" t="s">
        <v>2514</v>
      </c>
      <c r="G37" s="0" t="s">
        <v>1663</v>
      </c>
    </row>
    <row customHeight="1" ht="11.25">
      <c r="A38" s="0" t="s">
        <v>16</v>
      </c>
      <c r="B38" s="0" t="s">
        <v>2579</v>
      </c>
      <c r="C38" s="0" t="s">
        <v>2580</v>
      </c>
      <c r="D38" s="0" t="s">
        <v>2585</v>
      </c>
      <c r="E38" s="0" t="s">
        <v>2586</v>
      </c>
      <c r="F38" s="0" t="s">
        <v>2514</v>
      </c>
      <c r="G38" s="0" t="s">
        <v>1671</v>
      </c>
    </row>
    <row customHeight="1" ht="11.25">
      <c r="A39" s="0" t="s">
        <v>16</v>
      </c>
      <c r="B39" s="0" t="s">
        <v>2579</v>
      </c>
      <c r="C39" s="0" t="s">
        <v>2580</v>
      </c>
      <c r="D39" s="0" t="s">
        <v>2587</v>
      </c>
      <c r="E39" s="0" t="s">
        <v>2588</v>
      </c>
      <c r="F39" s="0" t="s">
        <v>2514</v>
      </c>
      <c r="G39" s="0" t="s">
        <v>1677</v>
      </c>
    </row>
    <row customHeight="1" ht="11.25">
      <c r="A40" s="0" t="s">
        <v>16</v>
      </c>
      <c r="B40" s="0" t="s">
        <v>2579</v>
      </c>
      <c r="C40" s="0" t="s">
        <v>2580</v>
      </c>
      <c r="D40" s="0" t="s">
        <v>2589</v>
      </c>
      <c r="E40" s="0" t="s">
        <v>2590</v>
      </c>
      <c r="F40" s="0" t="s">
        <v>2514</v>
      </c>
      <c r="G40" s="0" t="s">
        <v>1682</v>
      </c>
    </row>
    <row customHeight="1" ht="11.25">
      <c r="A41" s="0" t="s">
        <v>16</v>
      </c>
      <c r="B41" s="0" t="s">
        <v>2579</v>
      </c>
      <c r="C41" s="0" t="s">
        <v>2580</v>
      </c>
      <c r="D41" s="0" t="s">
        <v>2591</v>
      </c>
      <c r="E41" s="0" t="s">
        <v>2592</v>
      </c>
      <c r="F41" s="0" t="s">
        <v>2514</v>
      </c>
      <c r="G41" s="0" t="s">
        <v>1686</v>
      </c>
    </row>
    <row customHeight="1" ht="11.25">
      <c r="A42" s="0" t="s">
        <v>16</v>
      </c>
      <c r="B42" s="0" t="s">
        <v>2579</v>
      </c>
      <c r="C42" s="0" t="s">
        <v>2580</v>
      </c>
      <c r="D42" s="0" t="s">
        <v>2593</v>
      </c>
      <c r="E42" s="0" t="s">
        <v>2594</v>
      </c>
      <c r="F42" s="0" t="s">
        <v>2514</v>
      </c>
      <c r="G42" s="0" t="s">
        <v>1689</v>
      </c>
    </row>
    <row customHeight="1" ht="11.25">
      <c r="A43" s="0" t="s">
        <v>16</v>
      </c>
      <c r="B43" s="0" t="s">
        <v>2579</v>
      </c>
      <c r="C43" s="0" t="s">
        <v>2580</v>
      </c>
      <c r="D43" s="0" t="s">
        <v>2595</v>
      </c>
      <c r="E43" s="0" t="s">
        <v>2596</v>
      </c>
      <c r="F43" s="0" t="s">
        <v>2514</v>
      </c>
      <c r="G43" s="0" t="s">
        <v>1696</v>
      </c>
    </row>
    <row customHeight="1" ht="11.25">
      <c r="A44" s="0" t="s">
        <v>16</v>
      </c>
      <c r="B44" s="0" t="s">
        <v>2579</v>
      </c>
      <c r="C44" s="0" t="s">
        <v>2580</v>
      </c>
      <c r="D44" s="0" t="s">
        <v>2579</v>
      </c>
      <c r="E44" s="0" t="s">
        <v>2580</v>
      </c>
      <c r="F44" s="0" t="s">
        <v>2521</v>
      </c>
      <c r="G44" s="0" t="s">
        <v>1705</v>
      </c>
    </row>
    <row customHeight="1" ht="11.25">
      <c r="A45" s="0" t="s">
        <v>16</v>
      </c>
      <c r="B45" s="0" t="s">
        <v>2579</v>
      </c>
      <c r="C45" s="0" t="s">
        <v>2580</v>
      </c>
      <c r="D45" s="0" t="s">
        <v>2597</v>
      </c>
      <c r="E45" s="0" t="s">
        <v>2598</v>
      </c>
      <c r="F45" s="0" t="s">
        <v>2514</v>
      </c>
      <c r="G45" s="0" t="s">
        <v>1710</v>
      </c>
    </row>
    <row customHeight="1" ht="11.25">
      <c r="A46" s="0" t="s">
        <v>16</v>
      </c>
      <c r="B46" s="0" t="s">
        <v>2599</v>
      </c>
      <c r="C46" s="0" t="s">
        <v>2600</v>
      </c>
      <c r="D46" s="0" t="s">
        <v>2601</v>
      </c>
      <c r="E46" s="0" t="s">
        <v>2602</v>
      </c>
      <c r="F46" s="0" t="s">
        <v>2514</v>
      </c>
      <c r="G46" s="0" t="s">
        <v>1714</v>
      </c>
    </row>
    <row customHeight="1" ht="11.25">
      <c r="A47" s="0" t="s">
        <v>16</v>
      </c>
      <c r="B47" s="0" t="s">
        <v>2599</v>
      </c>
      <c r="C47" s="0" t="s">
        <v>2600</v>
      </c>
      <c r="D47" s="0" t="s">
        <v>2603</v>
      </c>
      <c r="E47" s="0" t="s">
        <v>2604</v>
      </c>
      <c r="F47" s="0" t="s">
        <v>2514</v>
      </c>
      <c r="G47" s="0" t="s">
        <v>1719</v>
      </c>
    </row>
    <row customHeight="1" ht="11.25">
      <c r="A48" s="0" t="s">
        <v>16</v>
      </c>
      <c r="B48" s="0" t="s">
        <v>2599</v>
      </c>
      <c r="C48" s="0" t="s">
        <v>2600</v>
      </c>
      <c r="D48" s="0" t="s">
        <v>2605</v>
      </c>
      <c r="E48" s="0" t="s">
        <v>2606</v>
      </c>
      <c r="F48" s="0" t="s">
        <v>2514</v>
      </c>
      <c r="G48" s="0" t="s">
        <v>1724</v>
      </c>
    </row>
    <row customHeight="1" ht="11.25">
      <c r="A49" s="0" t="s">
        <v>16</v>
      </c>
      <c r="B49" s="0" t="s">
        <v>2599</v>
      </c>
      <c r="C49" s="0" t="s">
        <v>2600</v>
      </c>
      <c r="D49" s="0" t="s">
        <v>2599</v>
      </c>
      <c r="E49" s="0" t="s">
        <v>2600</v>
      </c>
      <c r="F49" s="0" t="s">
        <v>2521</v>
      </c>
      <c r="G49" s="0" t="s">
        <v>1727</v>
      </c>
    </row>
    <row customHeight="1" ht="11.25">
      <c r="A50" s="0" t="s">
        <v>16</v>
      </c>
      <c r="B50" s="0" t="s">
        <v>2599</v>
      </c>
      <c r="C50" s="0" t="s">
        <v>2600</v>
      </c>
      <c r="D50" s="0" t="s">
        <v>2607</v>
      </c>
      <c r="E50" s="0" t="s">
        <v>2608</v>
      </c>
      <c r="F50" s="0" t="s">
        <v>2514</v>
      </c>
      <c r="G50" s="0" t="s">
        <v>1731</v>
      </c>
    </row>
    <row customHeight="1" ht="11.25">
      <c r="A51" s="0" t="s">
        <v>16</v>
      </c>
      <c r="B51" s="0" t="s">
        <v>2599</v>
      </c>
      <c r="C51" s="0" t="s">
        <v>2600</v>
      </c>
      <c r="D51" s="0" t="s">
        <v>2609</v>
      </c>
      <c r="E51" s="0" t="s">
        <v>2610</v>
      </c>
      <c r="F51" s="0" t="s">
        <v>2514</v>
      </c>
      <c r="G51" s="0" t="s">
        <v>1735</v>
      </c>
    </row>
    <row customHeight="1" ht="11.25">
      <c r="A52" s="0" t="s">
        <v>16</v>
      </c>
      <c r="B52" s="0" t="s">
        <v>2599</v>
      </c>
      <c r="C52" s="0" t="s">
        <v>2600</v>
      </c>
      <c r="D52" s="0" t="s">
        <v>2611</v>
      </c>
      <c r="E52" s="0" t="s">
        <v>2612</v>
      </c>
      <c r="F52" s="0" t="s">
        <v>2514</v>
      </c>
      <c r="G52" s="0" t="s">
        <v>1739</v>
      </c>
    </row>
    <row customHeight="1" ht="11.25">
      <c r="A53" s="0" t="s">
        <v>16</v>
      </c>
      <c r="B53" s="0" t="s">
        <v>2599</v>
      </c>
      <c r="C53" s="0" t="s">
        <v>2600</v>
      </c>
      <c r="D53" s="0" t="s">
        <v>2613</v>
      </c>
      <c r="E53" s="0" t="s">
        <v>2614</v>
      </c>
      <c r="F53" s="0" t="s">
        <v>2514</v>
      </c>
      <c r="G53" s="0" t="s">
        <v>1741</v>
      </c>
    </row>
    <row customHeight="1" ht="11.25">
      <c r="A54" s="0" t="s">
        <v>16</v>
      </c>
      <c r="B54" s="0" t="s">
        <v>2615</v>
      </c>
      <c r="C54" s="0" t="s">
        <v>2616</v>
      </c>
      <c r="D54" s="0" t="s">
        <v>2617</v>
      </c>
      <c r="E54" s="0" t="s">
        <v>2618</v>
      </c>
      <c r="F54" s="0" t="s">
        <v>2514</v>
      </c>
      <c r="G54" s="0" t="s">
        <v>1744</v>
      </c>
    </row>
    <row customHeight="1" ht="11.25">
      <c r="A55" s="0" t="s">
        <v>16</v>
      </c>
      <c r="B55" s="0" t="s">
        <v>2615</v>
      </c>
      <c r="C55" s="0" t="s">
        <v>2616</v>
      </c>
      <c r="D55" s="0" t="s">
        <v>2619</v>
      </c>
      <c r="E55" s="0" t="s">
        <v>2620</v>
      </c>
      <c r="F55" s="0" t="s">
        <v>2514</v>
      </c>
      <c r="G55" s="0" t="s">
        <v>1748</v>
      </c>
    </row>
    <row customHeight="1" ht="11.25">
      <c r="A56" s="0" t="s">
        <v>16</v>
      </c>
      <c r="B56" s="0" t="s">
        <v>2615</v>
      </c>
      <c r="C56" s="0" t="s">
        <v>2616</v>
      </c>
      <c r="D56" s="0" t="s">
        <v>2621</v>
      </c>
      <c r="E56" s="0" t="s">
        <v>2622</v>
      </c>
      <c r="F56" s="0" t="s">
        <v>2514</v>
      </c>
      <c r="G56" s="0" t="s">
        <v>1751</v>
      </c>
    </row>
    <row customHeight="1" ht="11.25">
      <c r="A57" s="0" t="s">
        <v>16</v>
      </c>
      <c r="B57" s="0" t="s">
        <v>2615</v>
      </c>
      <c r="C57" s="0" t="s">
        <v>2616</v>
      </c>
      <c r="D57" s="0" t="s">
        <v>2623</v>
      </c>
      <c r="E57" s="0" t="s">
        <v>2624</v>
      </c>
      <c r="F57" s="0" t="s">
        <v>2514</v>
      </c>
      <c r="G57" s="0" t="s">
        <v>1755</v>
      </c>
    </row>
    <row customHeight="1" ht="11.25">
      <c r="A58" s="0" t="s">
        <v>16</v>
      </c>
      <c r="B58" s="0" t="s">
        <v>2615</v>
      </c>
      <c r="C58" s="0" t="s">
        <v>2616</v>
      </c>
      <c r="D58" s="0" t="s">
        <v>2625</v>
      </c>
      <c r="E58" s="0" t="s">
        <v>2626</v>
      </c>
      <c r="F58" s="0" t="s">
        <v>2514</v>
      </c>
      <c r="G58" s="0" t="s">
        <v>1758</v>
      </c>
    </row>
    <row customHeight="1" ht="11.25">
      <c r="A59" s="0" t="s">
        <v>16</v>
      </c>
      <c r="B59" s="0" t="s">
        <v>2615</v>
      </c>
      <c r="C59" s="0" t="s">
        <v>2616</v>
      </c>
      <c r="D59" s="0" t="s">
        <v>2627</v>
      </c>
      <c r="E59" s="0" t="s">
        <v>2628</v>
      </c>
      <c r="F59" s="0" t="s">
        <v>2514</v>
      </c>
      <c r="G59" s="0" t="s">
        <v>1762</v>
      </c>
    </row>
    <row customHeight="1" ht="11.25">
      <c r="A60" s="0" t="s">
        <v>16</v>
      </c>
      <c r="B60" s="0" t="s">
        <v>2615</v>
      </c>
      <c r="C60" s="0" t="s">
        <v>2616</v>
      </c>
      <c r="D60" s="0" t="s">
        <v>2615</v>
      </c>
      <c r="E60" s="0" t="s">
        <v>2616</v>
      </c>
      <c r="F60" s="0" t="s">
        <v>2521</v>
      </c>
      <c r="G60" s="0" t="s">
        <v>1765</v>
      </c>
    </row>
    <row customHeight="1" ht="11.25">
      <c r="A61" s="0" t="s">
        <v>16</v>
      </c>
      <c r="B61" s="0" t="s">
        <v>2615</v>
      </c>
      <c r="C61" s="0" t="s">
        <v>2616</v>
      </c>
      <c r="D61" s="0" t="s">
        <v>2629</v>
      </c>
      <c r="E61" s="0" t="s">
        <v>2630</v>
      </c>
      <c r="F61" s="0" t="s">
        <v>2514</v>
      </c>
      <c r="G61" s="0" t="s">
        <v>2631</v>
      </c>
    </row>
    <row customHeight="1" ht="11.25">
      <c r="A62" s="0" t="s">
        <v>16</v>
      </c>
      <c r="B62" s="0" t="s">
        <v>2615</v>
      </c>
      <c r="C62" s="0" t="s">
        <v>2616</v>
      </c>
      <c r="D62" s="0" t="s">
        <v>2632</v>
      </c>
      <c r="E62" s="0" t="s">
        <v>2633</v>
      </c>
      <c r="F62" s="0" t="s">
        <v>2514</v>
      </c>
      <c r="G62" s="0" t="s">
        <v>2634</v>
      </c>
    </row>
    <row customHeight="1" ht="11.25">
      <c r="A63" s="0" t="s">
        <v>16</v>
      </c>
      <c r="B63" s="0" t="s">
        <v>2615</v>
      </c>
      <c r="C63" s="0" t="s">
        <v>2616</v>
      </c>
      <c r="D63" s="0" t="s">
        <v>2635</v>
      </c>
      <c r="E63" s="0" t="s">
        <v>2636</v>
      </c>
      <c r="F63" s="0" t="s">
        <v>2514</v>
      </c>
      <c r="G63" s="0" t="s">
        <v>2637</v>
      </c>
    </row>
    <row customHeight="1" ht="11.25">
      <c r="A64" s="0" t="s">
        <v>16</v>
      </c>
      <c r="B64" s="0" t="s">
        <v>2615</v>
      </c>
      <c r="C64" s="0" t="s">
        <v>2616</v>
      </c>
      <c r="D64" s="0" t="s">
        <v>2638</v>
      </c>
      <c r="E64" s="0" t="s">
        <v>2639</v>
      </c>
      <c r="F64" s="0" t="s">
        <v>2514</v>
      </c>
      <c r="G64" s="0" t="s">
        <v>2640</v>
      </c>
    </row>
    <row customHeight="1" ht="11.25">
      <c r="A65" s="0" t="s">
        <v>16</v>
      </c>
      <c r="B65" s="0" t="s">
        <v>2615</v>
      </c>
      <c r="C65" s="0" t="s">
        <v>2616</v>
      </c>
      <c r="D65" s="0" t="s">
        <v>2641</v>
      </c>
      <c r="E65" s="0" t="s">
        <v>2642</v>
      </c>
      <c r="F65" s="0" t="s">
        <v>2514</v>
      </c>
      <c r="G65" s="0" t="s">
        <v>2643</v>
      </c>
    </row>
    <row customHeight="1" ht="11.25">
      <c r="A66" s="0" t="s">
        <v>16</v>
      </c>
      <c r="B66" s="0" t="s">
        <v>2644</v>
      </c>
      <c r="C66" s="0" t="s">
        <v>2645</v>
      </c>
      <c r="D66" s="0" t="s">
        <v>2646</v>
      </c>
      <c r="E66" s="0" t="s">
        <v>2647</v>
      </c>
      <c r="F66" s="0" t="s">
        <v>2514</v>
      </c>
      <c r="G66" s="0" t="s">
        <v>2648</v>
      </c>
    </row>
    <row customHeight="1" ht="11.25">
      <c r="A67" s="0" t="s">
        <v>16</v>
      </c>
      <c r="B67" s="0" t="s">
        <v>2644</v>
      </c>
      <c r="C67" s="0" t="s">
        <v>2645</v>
      </c>
      <c r="D67" s="0" t="s">
        <v>2649</v>
      </c>
      <c r="E67" s="0" t="s">
        <v>2650</v>
      </c>
      <c r="F67" s="0" t="s">
        <v>2514</v>
      </c>
      <c r="G67" s="0" t="s">
        <v>2077</v>
      </c>
    </row>
    <row customHeight="1" ht="11.25">
      <c r="A68" s="0" t="s">
        <v>16</v>
      </c>
      <c r="B68" s="0" t="s">
        <v>2644</v>
      </c>
      <c r="C68" s="0" t="s">
        <v>2645</v>
      </c>
      <c r="D68" s="0" t="s">
        <v>2651</v>
      </c>
      <c r="E68" s="0" t="s">
        <v>2652</v>
      </c>
      <c r="F68" s="0" t="s">
        <v>2514</v>
      </c>
      <c r="G68" s="0" t="s">
        <v>2653</v>
      </c>
    </row>
    <row customHeight="1" ht="11.25">
      <c r="A69" s="0" t="s">
        <v>16</v>
      </c>
      <c r="B69" s="0" t="s">
        <v>2644</v>
      </c>
      <c r="C69" s="0" t="s">
        <v>2645</v>
      </c>
      <c r="D69" s="0" t="s">
        <v>2654</v>
      </c>
      <c r="E69" s="0" t="s">
        <v>2655</v>
      </c>
      <c r="F69" s="0" t="s">
        <v>2514</v>
      </c>
      <c r="G69" s="0" t="s">
        <v>2277</v>
      </c>
    </row>
    <row customHeight="1" ht="11.25">
      <c r="A70" s="0" t="s">
        <v>16</v>
      </c>
      <c r="B70" s="0" t="s">
        <v>2644</v>
      </c>
      <c r="C70" s="0" t="s">
        <v>2645</v>
      </c>
      <c r="D70" s="0" t="s">
        <v>2656</v>
      </c>
      <c r="E70" s="0" t="s">
        <v>2657</v>
      </c>
      <c r="F70" s="0" t="s">
        <v>2514</v>
      </c>
      <c r="G70" s="0" t="s">
        <v>2658</v>
      </c>
    </row>
    <row customHeight="1" ht="11.25">
      <c r="A71" s="0" t="s">
        <v>16</v>
      </c>
      <c r="B71" s="0" t="s">
        <v>2644</v>
      </c>
      <c r="C71" s="0" t="s">
        <v>2645</v>
      </c>
      <c r="D71" s="0" t="s">
        <v>2659</v>
      </c>
      <c r="E71" s="0" t="s">
        <v>2660</v>
      </c>
      <c r="F71" s="0" t="s">
        <v>2514</v>
      </c>
      <c r="G71" s="0" t="s">
        <v>2661</v>
      </c>
    </row>
    <row customHeight="1" ht="11.25">
      <c r="A72" s="0" t="s">
        <v>16</v>
      </c>
      <c r="B72" s="0" t="s">
        <v>2644</v>
      </c>
      <c r="C72" s="0" t="s">
        <v>2645</v>
      </c>
      <c r="D72" s="0" t="s">
        <v>2662</v>
      </c>
      <c r="E72" s="0" t="s">
        <v>2663</v>
      </c>
      <c r="F72" s="0" t="s">
        <v>2514</v>
      </c>
      <c r="G72" s="0" t="s">
        <v>2664</v>
      </c>
    </row>
    <row customHeight="1" ht="11.25">
      <c r="A73" s="0" t="s">
        <v>16</v>
      </c>
      <c r="B73" s="0" t="s">
        <v>2644</v>
      </c>
      <c r="C73" s="0" t="s">
        <v>2645</v>
      </c>
      <c r="D73" s="0" t="s">
        <v>2644</v>
      </c>
      <c r="E73" s="0" t="s">
        <v>2645</v>
      </c>
      <c r="F73" s="0" t="s">
        <v>2521</v>
      </c>
      <c r="G73" s="0" t="s">
        <v>2665</v>
      </c>
    </row>
    <row customHeight="1" ht="11.25">
      <c r="A74" s="0" t="s">
        <v>16</v>
      </c>
      <c r="B74" s="0" t="s">
        <v>2644</v>
      </c>
      <c r="C74" s="0" t="s">
        <v>2645</v>
      </c>
      <c r="D74" s="0" t="s">
        <v>2666</v>
      </c>
      <c r="E74" s="0" t="s">
        <v>2667</v>
      </c>
      <c r="F74" s="0" t="s">
        <v>2514</v>
      </c>
      <c r="G74" s="0" t="s">
        <v>2668</v>
      </c>
    </row>
    <row customHeight="1" ht="11.25">
      <c r="A75" s="0" t="s">
        <v>16</v>
      </c>
      <c r="B75" s="0" t="s">
        <v>2644</v>
      </c>
      <c r="C75" s="0" t="s">
        <v>2645</v>
      </c>
      <c r="D75" s="0" t="s">
        <v>2669</v>
      </c>
      <c r="E75" s="0" t="s">
        <v>2670</v>
      </c>
      <c r="F75" s="0" t="s">
        <v>2514</v>
      </c>
      <c r="G75" s="0" t="s">
        <v>2671</v>
      </c>
    </row>
    <row customHeight="1" ht="11.25">
      <c r="A76" s="0" t="s">
        <v>16</v>
      </c>
      <c r="B76" s="0" t="s">
        <v>2672</v>
      </c>
      <c r="C76" s="0" t="s">
        <v>2673</v>
      </c>
      <c r="D76" s="0" t="s">
        <v>2674</v>
      </c>
      <c r="E76" s="0" t="s">
        <v>2675</v>
      </c>
      <c r="F76" s="0" t="s">
        <v>2514</v>
      </c>
      <c r="G76" s="0" t="s">
        <v>2676</v>
      </c>
    </row>
    <row customHeight="1" ht="11.25">
      <c r="A77" s="0" t="s">
        <v>16</v>
      </c>
      <c r="B77" s="0" t="s">
        <v>2672</v>
      </c>
      <c r="C77" s="0" t="s">
        <v>2673</v>
      </c>
      <c r="D77" s="0" t="s">
        <v>2677</v>
      </c>
      <c r="E77" s="0" t="s">
        <v>2678</v>
      </c>
      <c r="F77" s="0" t="s">
        <v>2514</v>
      </c>
      <c r="G77" s="0" t="s">
        <v>2679</v>
      </c>
    </row>
    <row customHeight="1" ht="11.25">
      <c r="A78" s="0" t="s">
        <v>16</v>
      </c>
      <c r="B78" s="0" t="s">
        <v>2672</v>
      </c>
      <c r="C78" s="0" t="s">
        <v>2673</v>
      </c>
      <c r="D78" s="0" t="s">
        <v>2680</v>
      </c>
      <c r="E78" s="0" t="s">
        <v>2681</v>
      </c>
      <c r="F78" s="0" t="s">
        <v>2514</v>
      </c>
      <c r="G78" s="0" t="s">
        <v>2682</v>
      </c>
    </row>
    <row customHeight="1" ht="11.25">
      <c r="A79" s="0" t="s">
        <v>16</v>
      </c>
      <c r="B79" s="0" t="s">
        <v>2672</v>
      </c>
      <c r="C79" s="0" t="s">
        <v>2673</v>
      </c>
      <c r="D79" s="0" t="s">
        <v>2683</v>
      </c>
      <c r="E79" s="0" t="s">
        <v>2684</v>
      </c>
      <c r="F79" s="0" t="s">
        <v>2514</v>
      </c>
      <c r="G79" s="0" t="s">
        <v>2685</v>
      </c>
    </row>
    <row customHeight="1" ht="11.25">
      <c r="A80" s="0" t="s">
        <v>16</v>
      </c>
      <c r="B80" s="0" t="s">
        <v>2672</v>
      </c>
      <c r="C80" s="0" t="s">
        <v>2673</v>
      </c>
      <c r="D80" s="0" t="s">
        <v>2672</v>
      </c>
      <c r="E80" s="0" t="s">
        <v>2673</v>
      </c>
      <c r="F80" s="0" t="s">
        <v>2521</v>
      </c>
      <c r="G80" s="0" t="s">
        <v>2686</v>
      </c>
    </row>
    <row customHeight="1" ht="11.25">
      <c r="A81" s="0" t="s">
        <v>16</v>
      </c>
      <c r="B81" s="0" t="s">
        <v>2672</v>
      </c>
      <c r="C81" s="0" t="s">
        <v>2673</v>
      </c>
      <c r="D81" s="0" t="s">
        <v>2687</v>
      </c>
      <c r="E81" s="0" t="s">
        <v>2688</v>
      </c>
      <c r="F81" s="0" t="s">
        <v>2514</v>
      </c>
      <c r="G81" s="0" t="s">
        <v>2689</v>
      </c>
    </row>
    <row customHeight="1" ht="11.25">
      <c r="A82" s="0" t="s">
        <v>16</v>
      </c>
      <c r="B82" s="0" t="s">
        <v>2672</v>
      </c>
      <c r="C82" s="0" t="s">
        <v>2673</v>
      </c>
      <c r="D82" s="0" t="s">
        <v>2690</v>
      </c>
      <c r="E82" s="0" t="s">
        <v>2691</v>
      </c>
      <c r="F82" s="0" t="s">
        <v>2514</v>
      </c>
      <c r="G82" s="0" t="s">
        <v>2692</v>
      </c>
    </row>
    <row customHeight="1" ht="11.25">
      <c r="A83" s="0" t="s">
        <v>16</v>
      </c>
      <c r="B83" s="0" t="s">
        <v>2672</v>
      </c>
      <c r="C83" s="0" t="s">
        <v>2673</v>
      </c>
      <c r="D83" s="0" t="s">
        <v>2693</v>
      </c>
      <c r="E83" s="0" t="s">
        <v>2694</v>
      </c>
      <c r="F83" s="0" t="s">
        <v>2514</v>
      </c>
      <c r="G83" s="0" t="s">
        <v>2695</v>
      </c>
    </row>
    <row customHeight="1" ht="11.25">
      <c r="A84" s="0" t="s">
        <v>16</v>
      </c>
      <c r="B84" s="0" t="s">
        <v>2696</v>
      </c>
      <c r="C84" s="0" t="s">
        <v>2697</v>
      </c>
      <c r="D84" s="0" t="s">
        <v>2698</v>
      </c>
      <c r="E84" s="0" t="s">
        <v>2699</v>
      </c>
      <c r="F84" s="0" t="s">
        <v>2514</v>
      </c>
      <c r="G84" s="0" t="s">
        <v>2700</v>
      </c>
    </row>
    <row customHeight="1" ht="11.25">
      <c r="A85" s="0" t="s">
        <v>16</v>
      </c>
      <c r="B85" s="0" t="s">
        <v>2696</v>
      </c>
      <c r="C85" s="0" t="s">
        <v>2697</v>
      </c>
      <c r="D85" s="0" t="s">
        <v>2701</v>
      </c>
      <c r="E85" s="0" t="s">
        <v>2702</v>
      </c>
      <c r="F85" s="0" t="s">
        <v>2514</v>
      </c>
      <c r="G85" s="0" t="s">
        <v>2703</v>
      </c>
    </row>
    <row customHeight="1" ht="11.25">
      <c r="A86" s="0" t="s">
        <v>16</v>
      </c>
      <c r="B86" s="0" t="s">
        <v>2696</v>
      </c>
      <c r="C86" s="0" t="s">
        <v>2697</v>
      </c>
      <c r="D86" s="0" t="s">
        <v>2704</v>
      </c>
      <c r="E86" s="0" t="s">
        <v>2705</v>
      </c>
      <c r="F86" s="0" t="s">
        <v>2514</v>
      </c>
      <c r="G86" s="0" t="s">
        <v>2706</v>
      </c>
    </row>
    <row customHeight="1" ht="11.25">
      <c r="A87" s="0" t="s">
        <v>16</v>
      </c>
      <c r="B87" s="0" t="s">
        <v>2696</v>
      </c>
      <c r="C87" s="0" t="s">
        <v>2697</v>
      </c>
      <c r="D87" s="0" t="s">
        <v>2707</v>
      </c>
      <c r="E87" s="0" t="s">
        <v>2708</v>
      </c>
      <c r="F87" s="0" t="s">
        <v>2514</v>
      </c>
      <c r="G87" s="0" t="s">
        <v>2709</v>
      </c>
    </row>
    <row customHeight="1" ht="11.25">
      <c r="A88" s="0" t="s">
        <v>16</v>
      </c>
      <c r="B88" s="0" t="s">
        <v>2696</v>
      </c>
      <c r="C88" s="0" t="s">
        <v>2697</v>
      </c>
      <c r="D88" s="0" t="s">
        <v>2710</v>
      </c>
      <c r="E88" s="0" t="s">
        <v>2711</v>
      </c>
      <c r="F88" s="0" t="s">
        <v>2514</v>
      </c>
      <c r="G88" s="0" t="s">
        <v>2712</v>
      </c>
    </row>
    <row customHeight="1" ht="11.25">
      <c r="A89" s="0" t="s">
        <v>16</v>
      </c>
      <c r="B89" s="0" t="s">
        <v>2696</v>
      </c>
      <c r="C89" s="0" t="s">
        <v>2697</v>
      </c>
      <c r="D89" s="0" t="s">
        <v>2696</v>
      </c>
      <c r="E89" s="0" t="s">
        <v>2697</v>
      </c>
      <c r="F89" s="0" t="s">
        <v>2521</v>
      </c>
      <c r="G89" s="0" t="s">
        <v>2713</v>
      </c>
    </row>
    <row customHeight="1" ht="11.25">
      <c r="A90" s="0" t="s">
        <v>16</v>
      </c>
      <c r="B90" s="0" t="s">
        <v>2696</v>
      </c>
      <c r="C90" s="0" t="s">
        <v>2697</v>
      </c>
      <c r="D90" s="0" t="s">
        <v>2714</v>
      </c>
      <c r="E90" s="0" t="s">
        <v>2715</v>
      </c>
      <c r="F90" s="0" t="s">
        <v>2514</v>
      </c>
      <c r="G90" s="0" t="s">
        <v>2716</v>
      </c>
    </row>
    <row customHeight="1" ht="11.25">
      <c r="A91" s="0" t="s">
        <v>16</v>
      </c>
      <c r="B91" s="0" t="s">
        <v>2696</v>
      </c>
      <c r="C91" s="0" t="s">
        <v>2697</v>
      </c>
      <c r="D91" s="0" t="s">
        <v>2717</v>
      </c>
      <c r="E91" s="0" t="s">
        <v>2718</v>
      </c>
      <c r="F91" s="0" t="s">
        <v>2514</v>
      </c>
      <c r="G91" s="0" t="s">
        <v>2719</v>
      </c>
    </row>
    <row customHeight="1" ht="11.25">
      <c r="A92" s="0" t="s">
        <v>16</v>
      </c>
      <c r="B92" s="0" t="s">
        <v>2720</v>
      </c>
      <c r="C92" s="0" t="s">
        <v>2721</v>
      </c>
      <c r="D92" s="0" t="s">
        <v>2722</v>
      </c>
      <c r="E92" s="0" t="s">
        <v>2723</v>
      </c>
      <c r="F92" s="0" t="s">
        <v>2514</v>
      </c>
      <c r="G92" s="0" t="s">
        <v>2724</v>
      </c>
    </row>
    <row customHeight="1" ht="11.25">
      <c r="A93" s="0" t="s">
        <v>16</v>
      </c>
      <c r="B93" s="0" t="s">
        <v>2720</v>
      </c>
      <c r="C93" s="0" t="s">
        <v>2721</v>
      </c>
      <c r="D93" s="0" t="s">
        <v>2725</v>
      </c>
      <c r="E93" s="0" t="s">
        <v>2726</v>
      </c>
      <c r="F93" s="0" t="s">
        <v>2514</v>
      </c>
      <c r="G93" s="0" t="s">
        <v>2727</v>
      </c>
    </row>
    <row customHeight="1" ht="11.25">
      <c r="A94" s="0" t="s">
        <v>16</v>
      </c>
      <c r="B94" s="0" t="s">
        <v>2720</v>
      </c>
      <c r="C94" s="0" t="s">
        <v>2721</v>
      </c>
      <c r="D94" s="0" t="s">
        <v>2728</v>
      </c>
      <c r="E94" s="0" t="s">
        <v>2729</v>
      </c>
      <c r="F94" s="0" t="s">
        <v>2514</v>
      </c>
      <c r="G94" s="0" t="s">
        <v>2730</v>
      </c>
    </row>
    <row customHeight="1" ht="11.25">
      <c r="A95" s="0" t="s">
        <v>16</v>
      </c>
      <c r="B95" s="0" t="s">
        <v>2720</v>
      </c>
      <c r="C95" s="0" t="s">
        <v>2721</v>
      </c>
      <c r="D95" s="0" t="s">
        <v>2731</v>
      </c>
      <c r="E95" s="0" t="s">
        <v>2732</v>
      </c>
      <c r="F95" s="0" t="s">
        <v>2514</v>
      </c>
      <c r="G95" s="0" t="s">
        <v>2733</v>
      </c>
    </row>
    <row customHeight="1" ht="11.25">
      <c r="A96" s="0" t="s">
        <v>16</v>
      </c>
      <c r="B96" s="0" t="s">
        <v>2720</v>
      </c>
      <c r="C96" s="0" t="s">
        <v>2721</v>
      </c>
      <c r="D96" s="0" t="s">
        <v>2734</v>
      </c>
      <c r="E96" s="0" t="s">
        <v>2735</v>
      </c>
      <c r="F96" s="0" t="s">
        <v>2514</v>
      </c>
      <c r="G96" s="0" t="s">
        <v>2736</v>
      </c>
    </row>
    <row customHeight="1" ht="11.25">
      <c r="A97" s="0" t="s">
        <v>16</v>
      </c>
      <c r="B97" s="0" t="s">
        <v>2720</v>
      </c>
      <c r="C97" s="0" t="s">
        <v>2721</v>
      </c>
      <c r="D97" s="0" t="s">
        <v>2737</v>
      </c>
      <c r="E97" s="0" t="s">
        <v>2738</v>
      </c>
      <c r="F97" s="0" t="s">
        <v>2514</v>
      </c>
      <c r="G97" s="0" t="s">
        <v>2739</v>
      </c>
    </row>
    <row customHeight="1" ht="11.25">
      <c r="A98" s="0" t="s">
        <v>16</v>
      </c>
      <c r="B98" s="0" t="s">
        <v>2720</v>
      </c>
      <c r="C98" s="0" t="s">
        <v>2721</v>
      </c>
      <c r="D98" s="0" t="s">
        <v>2740</v>
      </c>
      <c r="E98" s="0" t="s">
        <v>2741</v>
      </c>
      <c r="F98" s="0" t="s">
        <v>2514</v>
      </c>
      <c r="G98" s="0" t="s">
        <v>2742</v>
      </c>
    </row>
    <row customHeight="1" ht="11.25">
      <c r="A99" s="0" t="s">
        <v>16</v>
      </c>
      <c r="B99" s="0" t="s">
        <v>2720</v>
      </c>
      <c r="C99" s="0" t="s">
        <v>2721</v>
      </c>
      <c r="D99" s="0" t="s">
        <v>2743</v>
      </c>
      <c r="E99" s="0" t="s">
        <v>2744</v>
      </c>
      <c r="F99" s="0" t="s">
        <v>2514</v>
      </c>
      <c r="G99" s="0" t="s">
        <v>2745</v>
      </c>
    </row>
    <row customHeight="1" ht="11.25">
      <c r="A100" s="0" t="s">
        <v>16</v>
      </c>
      <c r="B100" s="0" t="s">
        <v>2720</v>
      </c>
      <c r="C100" s="0" t="s">
        <v>2721</v>
      </c>
      <c r="D100" s="0" t="s">
        <v>2746</v>
      </c>
      <c r="E100" s="0" t="s">
        <v>2747</v>
      </c>
      <c r="F100" s="0" t="s">
        <v>2514</v>
      </c>
      <c r="G100" s="0" t="s">
        <v>2748</v>
      </c>
    </row>
    <row customHeight="1" ht="11.25">
      <c r="A101" s="0" t="s">
        <v>16</v>
      </c>
      <c r="B101" s="0" t="s">
        <v>2720</v>
      </c>
      <c r="C101" s="0" t="s">
        <v>2721</v>
      </c>
      <c r="D101" s="0" t="s">
        <v>2749</v>
      </c>
      <c r="E101" s="0" t="s">
        <v>2750</v>
      </c>
      <c r="F101" s="0" t="s">
        <v>2514</v>
      </c>
      <c r="G101" s="0" t="s">
        <v>2751</v>
      </c>
    </row>
    <row customHeight="1" ht="11.25">
      <c r="A102" s="0" t="s">
        <v>16</v>
      </c>
      <c r="B102" s="0" t="s">
        <v>2720</v>
      </c>
      <c r="C102" s="0" t="s">
        <v>2721</v>
      </c>
      <c r="D102" s="0" t="s">
        <v>2752</v>
      </c>
      <c r="E102" s="0" t="s">
        <v>2753</v>
      </c>
      <c r="F102" s="0" t="s">
        <v>2514</v>
      </c>
      <c r="G102" s="0" t="s">
        <v>2754</v>
      </c>
    </row>
    <row customHeight="1" ht="11.25">
      <c r="A103" s="0" t="s">
        <v>16</v>
      </c>
      <c r="B103" s="0" t="s">
        <v>2720</v>
      </c>
      <c r="C103" s="0" t="s">
        <v>2721</v>
      </c>
      <c r="D103" s="0" t="s">
        <v>2720</v>
      </c>
      <c r="E103" s="0" t="s">
        <v>2721</v>
      </c>
      <c r="F103" s="0" t="s">
        <v>2521</v>
      </c>
      <c r="G103" s="0" t="s">
        <v>2755</v>
      </c>
    </row>
    <row customHeight="1" ht="11.25">
      <c r="A104" s="0" t="s">
        <v>16</v>
      </c>
      <c r="B104" s="0" t="s">
        <v>2720</v>
      </c>
      <c r="C104" s="0" t="s">
        <v>2721</v>
      </c>
      <c r="D104" s="0" t="s">
        <v>2756</v>
      </c>
      <c r="E104" s="0" t="s">
        <v>2757</v>
      </c>
      <c r="F104" s="0" t="s">
        <v>2514</v>
      </c>
      <c r="G104" s="0" t="s">
        <v>2758</v>
      </c>
    </row>
    <row customHeight="1" ht="11.25">
      <c r="A105" s="0" t="s">
        <v>16</v>
      </c>
      <c r="B105" s="0" t="s">
        <v>2720</v>
      </c>
      <c r="C105" s="0" t="s">
        <v>2721</v>
      </c>
      <c r="D105" s="0" t="s">
        <v>2759</v>
      </c>
      <c r="E105" s="0" t="s">
        <v>2760</v>
      </c>
      <c r="F105" s="0" t="s">
        <v>2514</v>
      </c>
      <c r="G105" s="0" t="s">
        <v>2761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411AF-179D-A333-78CE-0.4FB4F48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2791</v>
      </c>
      <c r="B1" s="838" t="s">
        <v>2792</v>
      </c>
      <c r="C1" s="838" t="s">
        <v>1225</v>
      </c>
    </row>
    <row customHeight="1" ht="11.25">
      <c r="A2" s="838">
        <v>4189678</v>
      </c>
      <c r="B2" s="838" t="s">
        <v>2793</v>
      </c>
      <c r="C2" s="838" t="s">
        <v>2794</v>
      </c>
    </row>
    <row customHeight="1" ht="11.25">
      <c r="A3" s="838">
        <v>4190415</v>
      </c>
      <c r="B3" s="838" t="s">
        <v>2795</v>
      </c>
      <c r="C3" s="838" t="s">
        <v>2794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B0184-A7B1-3D3B-852B-0.D873799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2796</v>
      </c>
      <c r="B1" s="166" t="s">
        <v>2797</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1B29A-9262-A71A-0F9C-0.7A520D1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2798</v>
      </c>
      <c r="B1" s="0" t="b">
        <v>1</v>
      </c>
    </row>
    <row customHeight="1" ht="11.25">
      <c r="A2" s="0" t="s">
        <v>2799</v>
      </c>
      <c r="B2" s="0" t="b">
        <v>0</v>
      </c>
    </row>
    <row customHeight="1" ht="11.25">
      <c r="A3" s="0" t="s">
        <v>2800</v>
      </c>
      <c r="B3" s="0" t="b">
        <v>0</v>
      </c>
    </row>
    <row customHeight="1" ht="11.25">
      <c r="A4" s="0" t="s">
        <v>2801</v>
      </c>
      <c r="B4" s="0" t="b">
        <v>1</v>
      </c>
    </row>
    <row customHeight="1" ht="11.25">
      <c r="A5" s="0" t="s">
        <v>2802</v>
      </c>
      <c r="B5" s="0" t="b">
        <v>0</v>
      </c>
    </row>
    <row customHeight="1" ht="11.25">
      <c r="A6" s="0" t="s">
        <v>2803</v>
      </c>
      <c r="B6" s="0" t="b">
        <v>0</v>
      </c>
    </row>
    <row customHeight="1" ht="11.25">
      <c r="A7" s="0" t="s">
        <v>2804</v>
      </c>
      <c r="B7" s="0" t="b">
        <v>0</v>
      </c>
    </row>
    <row customHeight="1" ht="11.25">
      <c r="A8" s="0" t="s">
        <v>2805</v>
      </c>
      <c r="B8" s="0" t="b">
        <v>0</v>
      </c>
    </row>
    <row customHeight="1" ht="11.25">
      <c r="A9" s="0" t="s">
        <v>2806</v>
      </c>
      <c r="B9" s="0" t="b">
        <v>0</v>
      </c>
    </row>
    <row customHeight="1" ht="11.25">
      <c r="A10" s="0" t="s">
        <v>2807</v>
      </c>
      <c r="B10" s="0" t="b">
        <v>1</v>
      </c>
    </row>
    <row customHeight="1" ht="11.25">
      <c r="A11" s="0" t="s">
        <v>2808</v>
      </c>
      <c r="B11" s="0" t="b">
        <v>0</v>
      </c>
    </row>
    <row customHeight="1" ht="11.25">
      <c r="A12" s="0" t="s">
        <v>2809</v>
      </c>
      <c r="B12" s="0" t="b">
        <v>0</v>
      </c>
    </row>
    <row customHeight="1" ht="11.25">
      <c r="A13" s="0" t="s">
        <v>2810</v>
      </c>
      <c r="B13" s="0" t="b">
        <v>0</v>
      </c>
    </row>
    <row customHeight="1" ht="11.25">
      <c r="A14" s="0" t="s">
        <v>2811</v>
      </c>
      <c r="B14" s="0" t="b">
        <v>0</v>
      </c>
    </row>
    <row customHeight="1" ht="11.25">
      <c r="A15" s="0" t="s">
        <v>2812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7AB39-8EFD-C14A-FC0D-0.F911A2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4BDF8-852B-3D27-423A-0.810D39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2813</v>
      </c>
      <c r="B1" s="70" t="s">
        <v>2814</v>
      </c>
    </row>
    <row customHeight="1" ht="11.25">
      <c r="A2" s="67" t="s">
        <v>2815</v>
      </c>
      <c r="B2" s="67" t="s">
        <v>2816</v>
      </c>
    </row>
    <row customHeight="1" ht="11.25">
      <c r="A3" s="67" t="s">
        <v>2817</v>
      </c>
      <c r="B3" s="67" t="s">
        <v>2818</v>
      </c>
    </row>
    <row customHeight="1" ht="11.25">
      <c r="A4" s="67" t="s">
        <v>2819</v>
      </c>
      <c r="B4" s="67" t="s">
        <v>2820</v>
      </c>
    </row>
    <row customHeight="1" ht="11.25">
      <c r="A5" s="67" t="s">
        <v>2821</v>
      </c>
      <c r="B5" s="67" t="s">
        <v>2822</v>
      </c>
    </row>
    <row customHeight="1" ht="11.25">
      <c r="A6" s="67" t="s">
        <v>2823</v>
      </c>
      <c r="B6" s="67" t="s">
        <v>2824</v>
      </c>
    </row>
    <row customHeight="1" ht="11.25">
      <c r="A7" s="67" t="s">
        <v>2825</v>
      </c>
      <c r="B7" s="67" t="s">
        <v>2826</v>
      </c>
    </row>
    <row customHeight="1" ht="11.25">
      <c r="A8" s="67" t="s">
        <v>2827</v>
      </c>
      <c r="B8" s="67" t="s">
        <v>2828</v>
      </c>
    </row>
    <row customHeight="1" ht="11.25">
      <c r="A9" s="67" t="s">
        <v>2829</v>
      </c>
      <c r="B9" s="67" t="s">
        <v>2830</v>
      </c>
    </row>
    <row customHeight="1" ht="11.25">
      <c r="A10" s="67" t="s">
        <v>2831</v>
      </c>
      <c r="B10" s="67" t="s">
        <v>2832</v>
      </c>
    </row>
    <row customHeight="1" ht="11.25">
      <c r="A11" s="67" t="s">
        <v>2833</v>
      </c>
      <c r="B11" s="67" t="s">
        <v>2834</v>
      </c>
    </row>
    <row customHeight="1" ht="11.25">
      <c r="A12" s="67" t="s">
        <v>2835</v>
      </c>
      <c r="B12" s="67" t="s">
        <v>2836</v>
      </c>
    </row>
    <row customHeight="1" ht="11.25">
      <c r="A13" s="67" t="s">
        <v>2837</v>
      </c>
      <c r="B13" s="67" t="s">
        <v>2838</v>
      </c>
    </row>
    <row customHeight="1" ht="11.25">
      <c r="A14" s="67" t="s">
        <v>2839</v>
      </c>
      <c r="B14" s="67" t="s">
        <v>2840</v>
      </c>
    </row>
    <row customHeight="1" ht="11.25">
      <c r="A15" s="67" t="s">
        <v>2841</v>
      </c>
      <c r="B15" s="67" t="s">
        <v>2842</v>
      </c>
    </row>
    <row customHeight="1" ht="11.25">
      <c r="A16" s="67" t="s">
        <v>2843</v>
      </c>
      <c r="B16" s="67" t="s">
        <v>2844</v>
      </c>
    </row>
    <row customHeight="1" ht="11.25">
      <c r="A17" s="67" t="s">
        <v>2845</v>
      </c>
      <c r="B17" s="67" t="s">
        <v>2846</v>
      </c>
    </row>
    <row customHeight="1" ht="11.25">
      <c r="A18" s="67" t="s">
        <v>2847</v>
      </c>
      <c r="B18" s="67" t="s">
        <v>2848</v>
      </c>
    </row>
    <row customHeight="1" ht="11.25">
      <c r="A19" s="67" t="s">
        <v>2849</v>
      </c>
      <c r="B19" s="67" t="s">
        <v>2850</v>
      </c>
    </row>
    <row customHeight="1" ht="11.25">
      <c r="A20" s="67" t="s">
        <v>2851</v>
      </c>
      <c r="B20" s="67" t="s">
        <v>2852</v>
      </c>
    </row>
    <row customHeight="1" ht="11.25">
      <c r="A21" s="67" t="s">
        <v>2853</v>
      </c>
      <c r="B21" s="67" t="s">
        <v>2854</v>
      </c>
    </row>
    <row customHeight="1" ht="11.25">
      <c r="A22" s="67" t="s">
        <v>2855</v>
      </c>
      <c r="B22" s="67" t="s">
        <v>2856</v>
      </c>
    </row>
    <row customHeight="1" ht="11.25">
      <c r="A23" s="67" t="s">
        <v>2857</v>
      </c>
      <c r="B23" s="67" t="s">
        <v>2858</v>
      </c>
    </row>
    <row customHeight="1" ht="11.25">
      <c r="A24" s="67" t="s">
        <v>2859</v>
      </c>
      <c r="B24" s="67" t="s">
        <v>2860</v>
      </c>
    </row>
    <row customHeight="1" ht="11.25">
      <c r="A25" s="67" t="s">
        <v>2861</v>
      </c>
      <c r="B25" s="67" t="s">
        <v>2862</v>
      </c>
    </row>
    <row customHeight="1" ht="11.25">
      <c r="A26" s="67" t="s">
        <v>2863</v>
      </c>
      <c r="B26" s="67" t="s">
        <v>2864</v>
      </c>
    </row>
    <row customHeight="1" ht="11.25">
      <c r="A27" s="67" t="s">
        <v>2865</v>
      </c>
      <c r="B27" s="67" t="s">
        <v>2866</v>
      </c>
    </row>
    <row customHeight="1" ht="11.25">
      <c r="A28" s="67" t="s">
        <v>2867</v>
      </c>
      <c r="B28" s="67" t="s">
        <v>2868</v>
      </c>
    </row>
    <row customHeight="1" ht="11.25">
      <c r="A29" s="67" t="s">
        <v>2869</v>
      </c>
      <c r="B29" s="67" t="s">
        <v>2870</v>
      </c>
    </row>
    <row customHeight="1" ht="11.25">
      <c r="A30" s="67" t="s">
        <v>2871</v>
      </c>
      <c r="B30" s="67" t="s">
        <v>2872</v>
      </c>
    </row>
    <row customHeight="1" ht="11.25">
      <c r="A31" s="67" t="s">
        <v>2873</v>
      </c>
      <c r="B31" s="67" t="s">
        <v>2874</v>
      </c>
    </row>
    <row customHeight="1" ht="11.25">
      <c r="A32" s="67" t="s">
        <v>2875</v>
      </c>
      <c r="B32" s="67" t="s">
        <v>2876</v>
      </c>
    </row>
    <row customHeight="1" ht="11.25">
      <c r="A33" s="67" t="s">
        <v>2877</v>
      </c>
      <c r="B33" s="67" t="s">
        <v>2878</v>
      </c>
    </row>
    <row customHeight="1" ht="11.25">
      <c r="A34" s="67" t="s">
        <v>2879</v>
      </c>
      <c r="B34" s="67" t="s">
        <v>2880</v>
      </c>
    </row>
    <row customHeight="1" ht="11.25">
      <c r="A35" s="67" t="s">
        <v>2881</v>
      </c>
      <c r="B35" s="67" t="s">
        <v>2882</v>
      </c>
    </row>
    <row customHeight="1" ht="11.25">
      <c r="A36" s="67" t="s">
        <v>2883</v>
      </c>
      <c r="B36" s="67" t="s">
        <v>2884</v>
      </c>
    </row>
    <row customHeight="1" ht="11.25">
      <c r="A37" s="67" t="s">
        <v>2885</v>
      </c>
      <c r="B37" s="67" t="s">
        <v>2886</v>
      </c>
    </row>
    <row customHeight="1" ht="11.25">
      <c r="A38" s="67" t="s">
        <v>2887</v>
      </c>
      <c r="B38" s="67" t="s">
        <v>2888</v>
      </c>
    </row>
    <row customHeight="1" ht="11.25">
      <c r="A39" s="67" t="s">
        <v>2889</v>
      </c>
      <c r="B39" s="67" t="s">
        <v>2890</v>
      </c>
    </row>
    <row customHeight="1" ht="11.25">
      <c r="A40" s="67" t="s">
        <v>2891</v>
      </c>
      <c r="B40" s="67" t="s">
        <v>2892</v>
      </c>
    </row>
    <row customHeight="1" ht="11.25">
      <c r="A41" s="67" t="s">
        <v>2893</v>
      </c>
      <c r="B41" s="67" t="s">
        <v>2894</v>
      </c>
    </row>
    <row customHeight="1" ht="11.25">
      <c r="A42" s="67" t="s">
        <v>2895</v>
      </c>
      <c r="B42" s="67" t="s">
        <v>2896</v>
      </c>
    </row>
    <row customHeight="1" ht="11.25">
      <c r="A43" s="67" t="s">
        <v>2897</v>
      </c>
      <c r="B43" s="67" t="s">
        <v>2898</v>
      </c>
    </row>
    <row customHeight="1" ht="11.25">
      <c r="A44" s="67" t="s">
        <v>2899</v>
      </c>
      <c r="B44" s="67" t="s">
        <v>2900</v>
      </c>
    </row>
    <row customHeight="1" ht="11.25">
      <c r="A45" s="67" t="s">
        <v>2901</v>
      </c>
      <c r="B45" s="67" t="s">
        <v>2902</v>
      </c>
    </row>
    <row customHeight="1" ht="11.25">
      <c r="A46" s="67" t="s">
        <v>2903</v>
      </c>
      <c r="B46" s="67" t="s">
        <v>2904</v>
      </c>
    </row>
    <row customHeight="1" ht="11.25">
      <c r="A47" s="67" t="s">
        <v>2905</v>
      </c>
      <c r="B47" s="67" t="s">
        <v>2906</v>
      </c>
    </row>
    <row customHeight="1" ht="11.25">
      <c r="A48" s="67" t="s">
        <v>2907</v>
      </c>
      <c r="B48" s="67" t="s">
        <v>2908</v>
      </c>
    </row>
    <row customHeight="1" ht="11.25">
      <c r="A49" s="67" t="s">
        <v>2909</v>
      </c>
      <c r="B49" s="67" t="s">
        <v>2910</v>
      </c>
    </row>
    <row customHeight="1" ht="11.25">
      <c r="A50" s="67" t="s">
        <v>2911</v>
      </c>
      <c r="B50" s="67" t="s">
        <v>2912</v>
      </c>
    </row>
    <row customHeight="1" ht="11.25">
      <c r="A51" s="67" t="s">
        <v>2913</v>
      </c>
      <c r="B51" s="67" t="s">
        <v>2914</v>
      </c>
    </row>
    <row customHeight="1" ht="11.25">
      <c r="A52" s="67" t="s">
        <v>2915</v>
      </c>
      <c r="B52" s="67" t="s">
        <v>2916</v>
      </c>
    </row>
    <row customHeight="1" ht="11.25">
      <c r="A53" s="67" t="s">
        <v>2917</v>
      </c>
      <c r="B53" s="67" t="s">
        <v>2918</v>
      </c>
    </row>
    <row customHeight="1" ht="11.25">
      <c r="A54" s="67" t="s">
        <v>2919</v>
      </c>
      <c r="B54" s="67" t="s">
        <v>2920</v>
      </c>
    </row>
    <row customHeight="1" ht="11.25">
      <c r="A55" s="67" t="s">
        <v>2921</v>
      </c>
      <c r="B55" s="67" t="s">
        <v>2922</v>
      </c>
    </row>
    <row customHeight="1" ht="11.25">
      <c r="A56" s="67" t="s">
        <v>2923</v>
      </c>
      <c r="B56" s="67" t="s">
        <v>2924</v>
      </c>
    </row>
    <row customHeight="1" ht="11.25">
      <c r="A57" s="67" t="s">
        <v>2925</v>
      </c>
      <c r="B57" s="67" t="s">
        <v>2926</v>
      </c>
    </row>
    <row customHeight="1" ht="11.25">
      <c r="A58" s="67" t="s">
        <v>2927</v>
      </c>
      <c r="B58" s="67" t="s">
        <v>2928</v>
      </c>
    </row>
    <row customHeight="1" ht="11.25">
      <c r="A59" s="67" t="s">
        <v>2929</v>
      </c>
      <c r="B59" s="67" t="s">
        <v>2930</v>
      </c>
    </row>
    <row customHeight="1" ht="11.25">
      <c r="A60" s="67" t="s">
        <v>2931</v>
      </c>
      <c r="B60" s="67" t="s">
        <v>2932</v>
      </c>
    </row>
    <row customHeight="1" ht="11.25">
      <c r="A61" s="67"/>
      <c r="B61" s="67" t="s">
        <v>2933</v>
      </c>
    </row>
    <row customHeight="1" ht="11.25">
      <c r="A62" s="67"/>
      <c r="B62" s="67" t="s">
        <v>2934</v>
      </c>
    </row>
    <row customHeight="1" ht="11.25">
      <c r="A63" s="67"/>
      <c r="B63" s="67" t="s">
        <v>2935</v>
      </c>
    </row>
    <row customHeight="1" ht="11.25">
      <c r="A64" s="67"/>
      <c r="B64" s="67" t="s">
        <v>2936</v>
      </c>
    </row>
    <row customHeight="1" ht="11.25">
      <c r="A65" s="67"/>
      <c r="B65" s="67" t="s">
        <v>2937</v>
      </c>
    </row>
    <row customHeight="1" ht="11.25">
      <c r="A66" s="67"/>
      <c r="B66" s="67" t="s">
        <v>2938</v>
      </c>
    </row>
    <row customHeight="1" ht="11.25">
      <c r="A67" s="67"/>
      <c r="B67" s="67" t="s">
        <v>2939</v>
      </c>
    </row>
    <row customHeight="1" ht="11.25">
      <c r="A68" s="67"/>
      <c r="B68" s="67" t="s">
        <v>2940</v>
      </c>
    </row>
    <row customHeight="1" ht="11.25">
      <c r="A69" s="67"/>
      <c r="B69" s="67" t="s">
        <v>2941</v>
      </c>
    </row>
    <row customHeight="1" ht="11.25">
      <c r="A70" s="67"/>
      <c r="B70" s="67" t="s">
        <v>2942</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E597F-FF3A-796E-0723-0.C4E8933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2943</v>
      </c>
    </row>
    <row customHeight="1" ht="90">
      <c r="B2" s="97" t="s">
        <v>2944</v>
      </c>
    </row>
    <row customHeight="1" ht="67.5">
      <c r="B3" s="97" t="s">
        <v>2945</v>
      </c>
    </row>
    <row customHeight="1" ht="33.75">
      <c r="B4" s="97" t="s">
        <v>2946</v>
      </c>
    </row>
    <row customHeight="1" ht="11.25">
      <c r="B5" s="97" t="s">
        <v>2947</v>
      </c>
    </row>
    <row customHeight="1" ht="22.5">
      <c r="B6" s="97" t="s">
        <v>2948</v>
      </c>
    </row>
    <row customHeight="1" ht="22.5">
      <c r="B7" s="97" t="s">
        <v>2949</v>
      </c>
    </row>
    <row customHeight="1" ht="22.5">
      <c r="B8" s="97" t="s">
        <v>2950</v>
      </c>
    </row>
    <row customHeight="1" ht="22.5">
      <c r="B9" s="97" t="s">
        <v>2951</v>
      </c>
    </row>
    <row customHeight="1" ht="56.25">
      <c r="B10" s="97" t="s">
        <v>2952</v>
      </c>
    </row>
    <row customHeight="1" ht="12.75">
      <c r="B11" s="162" t="s">
        <v>2953</v>
      </c>
    </row>
    <row customHeight="1" ht="11.25">
      <c r="B12" s="96" t="s">
        <v>2954</v>
      </c>
    </row>
    <row customHeight="1" ht="22.5">
      <c r="B13" s="97" t="s">
        <v>2955</v>
      </c>
    </row>
    <row customHeight="1" ht="67.5">
      <c r="B14" s="97" t="s">
        <v>2956</v>
      </c>
    </row>
    <row customHeight="1" ht="22.5">
      <c r="B15" s="97" t="s">
        <v>2957</v>
      </c>
    </row>
    <row customHeight="1" ht="11.25">
      <c r="B16" s="96" t="s">
        <v>2958</v>
      </c>
      <c r="D16" s="103"/>
    </row>
    <row customHeight="1" ht="33.75">
      <c r="B17" s="97" t="s">
        <v>2959</v>
      </c>
    </row>
    <row customHeight="1" ht="33.75">
      <c r="B18" s="97" t="s">
        <v>2960</v>
      </c>
    </row>
    <row customHeight="1" ht="11.25">
      <c r="B19" s="97" t="s">
        <v>2961</v>
      </c>
    </row>
    <row customHeight="1" ht="33.75">
      <c r="B20" s="97" t="s">
        <v>2962</v>
      </c>
    </row>
    <row customHeight="1" ht="11.25">
      <c r="B21" s="96" t="s">
        <v>2963</v>
      </c>
    </row>
    <row customHeight="1" ht="11.25">
      <c r="B22" s="97" t="s">
        <v>2964</v>
      </c>
    </row>
    <row r="24" customHeight="1" ht="22.5">
      <c r="B24" s="164" t="s">
        <v>2965</v>
      </c>
    </row>
    <row r="26" customHeight="1" ht="11.25">
      <c r="B26" s="96" t="s">
        <v>2966</v>
      </c>
    </row>
    <row customHeight="1" ht="22.5">
      <c r="B27" s="163" t="s">
        <v>397</v>
      </c>
    </row>
    <row customHeight="1" ht="56.25">
      <c r="B28" s="163" t="s">
        <v>2967</v>
      </c>
    </row>
    <row customHeight="1" ht="11.25">
      <c r="B29" s="213" t="s">
        <v>2968</v>
      </c>
    </row>
    <row customHeight="1" ht="22.5">
      <c r="B30" s="163" t="s">
        <v>2969</v>
      </c>
    </row>
    <row r="32" customHeight="1" ht="11.25">
      <c r="A32" s="191"/>
      <c r="B32" s="192" t="s">
        <v>2970</v>
      </c>
    </row>
    <row customHeight="1" ht="14.25">
      <c r="A33" s="193">
        <v>1</v>
      </c>
      <c r="B33" s="194" t="s">
        <v>2971</v>
      </c>
    </row>
    <row customHeight="1" ht="14.25">
      <c r="A34" s="193">
        <v>2</v>
      </c>
      <c r="B34" s="194" t="s">
        <v>2972</v>
      </c>
    </row>
    <row customHeight="1" ht="11.25">
      <c r="B35" s="192" t="s">
        <v>2973</v>
      </c>
    </row>
    <row customHeight="1" ht="11.25">
      <c r="B36" s="194" t="s">
        <v>2974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0CF58-9D01-6E72-F243-0.4BBA3C7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353</v>
      </c>
      <c r="I1" s="2239"/>
      <c r="V1" s="1610" t="s">
        <v>14</v>
      </c>
    </row>
    <row s="1638" customFormat="1" customHeight="1" ht="14.25" hidden="1">
      <c r="C2" s="1622"/>
      <c r="D2" s="2255" t="s">
        <v>99</v>
      </c>
      <c r="E2" s="2257"/>
      <c r="F2" s="1628"/>
      <c r="G2" s="1623" t="s">
        <v>99</v>
      </c>
      <c r="H2" s="1626"/>
      <c r="I2" s="1624"/>
      <c r="L2" s="1625"/>
      <c r="M2" s="1625"/>
      <c r="N2" s="1625"/>
      <c r="O2" s="1625" t="s">
        <v>383</v>
      </c>
      <c r="P2" s="1625"/>
      <c r="Q2" s="1625"/>
      <c r="R2" s="1627" t="s">
        <v>382</v>
      </c>
      <c r="S2" s="1627" t="s">
        <v>382</v>
      </c>
      <c r="T2" s="1625"/>
      <c r="U2" s="1625"/>
      <c r="V2" s="1621">
        <v>0</v>
      </c>
    </row>
    <row s="1638" customFormat="1" customHeight="1" ht="14.25" hidden="1">
      <c r="C3" s="1622"/>
      <c r="D3" s="2256"/>
      <c r="E3" s="2258"/>
      <c r="F3" s="408"/>
      <c r="G3" s="872"/>
      <c r="H3" s="872" t="s">
        <v>384</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357</v>
      </c>
      <c r="I5" s="705"/>
      <c r="J5" s="705"/>
      <c r="L5" s="1617"/>
      <c r="M5" s="1617"/>
      <c r="N5" s="1617"/>
      <c r="O5" s="1617"/>
      <c r="P5" s="1617"/>
      <c r="Q5" s="1617"/>
      <c r="R5" s="1617"/>
      <c r="S5" s="1617"/>
      <c r="T5" s="1617"/>
      <c r="U5" s="1617"/>
      <c r="V5" s="1616">
        <v>5</v>
      </c>
    </row>
    <row customHeight="1" ht="29.25">
      <c r="C6" s="1519"/>
      <c r="D6" s="2259" t="s">
        <v>385</v>
      </c>
      <c r="E6" s="2259"/>
      <c r="F6" s="2259"/>
      <c r="G6" s="2259"/>
      <c r="H6" s="2259"/>
      <c r="I6" s="2259"/>
      <c r="J6" s="494"/>
      <c r="K6" s="1618"/>
      <c r="V6" s="1610">
        <v>28</v>
      </c>
    </row>
    <row customHeight="1" ht="18">
      <c r="C7" s="1519"/>
      <c r="D7" s="2198" t="str">
        <f>IF(org=0,"Не определено",org)</f>
        <v>АО "Водоканал"</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301</v>
      </c>
      <c r="E10" s="2241"/>
      <c r="F10" s="2241"/>
      <c r="G10" s="2241"/>
      <c r="H10" s="2241"/>
      <c r="I10" s="2241"/>
      <c r="J10" s="2245" t="s">
        <v>302</v>
      </c>
      <c r="V10" s="1610">
        <v>14</v>
      </c>
    </row>
    <row customHeight="1" ht="27.299999999999997">
      <c r="C11" s="1519"/>
      <c r="D11" s="2149" t="s">
        <v>88</v>
      </c>
      <c r="E11" s="2245" t="s">
        <v>105</v>
      </c>
      <c r="F11" s="2214" t="s">
        <v>88</v>
      </c>
      <c r="G11" s="2215"/>
      <c r="H11" s="2197" t="s">
        <v>386</v>
      </c>
      <c r="I11" s="2197" t="s">
        <v>387</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377</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99</v>
      </c>
      <c r="E14" s="2257"/>
      <c r="F14" s="1620"/>
      <c r="G14" s="1619" t="s">
        <v>99</v>
      </c>
      <c r="H14" s="1626"/>
      <c r="I14" s="1624"/>
      <c r="J14" s="2191" t="s">
        <v>388</v>
      </c>
      <c r="K14" s="1610"/>
      <c r="R14" s="503" t="s">
        <v>382</v>
      </c>
      <c r="S14" s="503" t="s">
        <v>382</v>
      </c>
      <c r="V14" s="1610">
        <v>14</v>
      </c>
    </row>
    <row customHeight="1" ht="14.699999999999998">
      <c r="A15" s="1610"/>
      <c r="C15" s="1519"/>
      <c r="D15" s="2256"/>
      <c r="E15" s="2258"/>
      <c r="F15" s="408"/>
      <c r="G15" s="872"/>
      <c r="H15" s="872" t="s">
        <v>384</v>
      </c>
      <c r="I15" s="316"/>
      <c r="J15" s="2192"/>
      <c r="K15" s="1610"/>
      <c r="R15" s="503"/>
      <c r="S15" s="503"/>
      <c r="V15" s="1610">
        <v>14</v>
      </c>
    </row>
    <row customHeight="1" ht="14.699999999999998">
      <c r="A16" s="1610"/>
      <c r="C16" s="1519"/>
      <c r="D16" s="408"/>
      <c r="E16" s="872" t="s">
        <v>124</v>
      </c>
      <c r="F16" s="316"/>
      <c r="G16" s="316"/>
      <c r="H16" s="409"/>
      <c r="I16" s="409"/>
      <c r="J16" s="2193"/>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